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b291e45d8edee2b/Desktop/Dolphin/BUDGETTING/"/>
    </mc:Choice>
  </mc:AlternateContent>
  <xr:revisionPtr revIDLastSave="0" documentId="8_{2D25AC31-E2AE-4F02-87BE-127BFE8B5547}" xr6:coauthVersionLast="47" xr6:coauthVersionMax="47" xr10:uidLastSave="{00000000-0000-0000-0000-000000000000}"/>
  <bookViews>
    <workbookView xWindow="-108" yWindow="-108" windowWidth="24792" windowHeight="13320" xr2:uid="{00000000-000D-0000-FFFF-FFFF00000000}"/>
  </bookViews>
  <sheets>
    <sheet name="Cashflow Y1" sheetId="1" r:id="rId1"/>
    <sheet name="Y1 Budget" sheetId="5" r:id="rId2"/>
    <sheet name="Y1 CapEx" sheetId="3" r:id="rId3"/>
    <sheet name="Y1 Start up costs" sheetId="8" r:id="rId4"/>
    <sheet name="Cashflow Y2" sheetId="2" r:id="rId5"/>
    <sheet name="Y2 Budget" sheetId="7" r:id="rId6"/>
    <sheet name="Y2 CapEx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5" l="1"/>
  <c r="C63" i="5"/>
  <c r="C57" i="5"/>
  <c r="D57" i="5"/>
  <c r="E57" i="5"/>
  <c r="C58" i="5"/>
  <c r="D58" i="5"/>
  <c r="E58" i="5"/>
  <c r="C59" i="5"/>
  <c r="D59" i="5"/>
  <c r="E59" i="5"/>
  <c r="C60" i="5"/>
  <c r="D60" i="5"/>
  <c r="E60" i="5"/>
  <c r="D48" i="5"/>
  <c r="D49" i="5"/>
  <c r="D50" i="5"/>
  <c r="D51" i="5"/>
  <c r="D52" i="5"/>
  <c r="D53" i="5"/>
  <c r="D54" i="5"/>
  <c r="D55" i="5"/>
  <c r="D56" i="5"/>
  <c r="D63" i="5"/>
  <c r="B17" i="8"/>
  <c r="B29" i="8" s="1"/>
  <c r="B7" i="8"/>
  <c r="B34" i="8" s="1"/>
  <c r="B62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16" i="3"/>
  <c r="B18" i="3" l="1"/>
  <c r="D62" i="5" s="1"/>
  <c r="B41" i="1"/>
  <c r="B32" i="1"/>
  <c r="C32" i="1"/>
  <c r="C41" i="1"/>
  <c r="B24" i="1"/>
  <c r="C24" i="1"/>
  <c r="B16" i="1"/>
  <c r="C16" i="1"/>
  <c r="B17" i="1"/>
  <c r="C17" i="1"/>
  <c r="B18" i="1"/>
  <c r="C18" i="1"/>
  <c r="B19" i="1"/>
  <c r="C19" i="1"/>
  <c r="B20" i="1"/>
  <c r="C20" i="1"/>
  <c r="B7" i="1"/>
  <c r="B11" i="1" s="1"/>
  <c r="C7" i="1"/>
  <c r="D7" i="1"/>
  <c r="B8" i="1"/>
  <c r="C8" i="1"/>
  <c r="D8" i="1"/>
  <c r="B9" i="1"/>
  <c r="C9" i="1"/>
  <c r="C11" i="1" s="1"/>
  <c r="C22" i="1" s="1"/>
  <c r="D9" i="1"/>
  <c r="D11" i="1" s="1"/>
  <c r="B10" i="1"/>
  <c r="C10" i="1"/>
  <c r="D10" i="1"/>
  <c r="D24" i="1"/>
  <c r="D41" i="1"/>
  <c r="D32" i="1"/>
  <c r="D43" i="1" s="1"/>
  <c r="F5" i="1"/>
  <c r="D16" i="1"/>
  <c r="D17" i="1"/>
  <c r="D18" i="1"/>
  <c r="D20" i="1" s="1"/>
  <c r="D19" i="1"/>
  <c r="N50" i="2"/>
  <c r="M50" i="2"/>
  <c r="M50" i="1"/>
  <c r="K50" i="1"/>
  <c r="L50" i="1"/>
  <c r="O42" i="2"/>
  <c r="E57" i="7"/>
  <c r="D57" i="7"/>
  <c r="C57" i="7"/>
  <c r="E56" i="7"/>
  <c r="D56" i="7"/>
  <c r="C56" i="7"/>
  <c r="B56" i="7"/>
  <c r="E55" i="7"/>
  <c r="D55" i="7"/>
  <c r="C55" i="7"/>
  <c r="B55" i="7"/>
  <c r="E54" i="7"/>
  <c r="D54" i="7"/>
  <c r="C54" i="7"/>
  <c r="B54" i="7"/>
  <c r="E53" i="7"/>
  <c r="D53" i="7"/>
  <c r="C53" i="7"/>
  <c r="B53" i="7"/>
  <c r="E52" i="7"/>
  <c r="D52" i="7"/>
  <c r="C52" i="7"/>
  <c r="B52" i="7"/>
  <c r="E51" i="7"/>
  <c r="D51" i="7"/>
  <c r="C51" i="7"/>
  <c r="B51" i="7"/>
  <c r="E50" i="7"/>
  <c r="D50" i="7"/>
  <c r="C50" i="7"/>
  <c r="B50" i="7"/>
  <c r="E49" i="7"/>
  <c r="D49" i="7"/>
  <c r="C49" i="7"/>
  <c r="B49" i="7"/>
  <c r="E48" i="7"/>
  <c r="D48" i="7"/>
  <c r="C48" i="7"/>
  <c r="B48" i="7"/>
  <c r="E47" i="7"/>
  <c r="B47" i="7"/>
  <c r="C47" i="7"/>
  <c r="D47" i="7"/>
  <c r="D40" i="7"/>
  <c r="C40" i="7" s="1"/>
  <c r="D39" i="7"/>
  <c r="D38" i="7"/>
  <c r="D37" i="7"/>
  <c r="C37" i="7" s="1"/>
  <c r="D36" i="7"/>
  <c r="E36" i="7" s="1"/>
  <c r="D35" i="7"/>
  <c r="E35" i="7" s="1"/>
  <c r="D34" i="7"/>
  <c r="C34" i="7" s="1"/>
  <c r="D33" i="7"/>
  <c r="E33" i="7" s="1"/>
  <c r="D32" i="7"/>
  <c r="E32" i="7" s="1"/>
  <c r="D31" i="7"/>
  <c r="D30" i="7"/>
  <c r="E30" i="7" s="1"/>
  <c r="D28" i="7"/>
  <c r="C28" i="7" s="1"/>
  <c r="D27" i="7"/>
  <c r="E27" i="7" s="1"/>
  <c r="D26" i="7"/>
  <c r="E26" i="7" s="1"/>
  <c r="D25" i="7"/>
  <c r="D18" i="7"/>
  <c r="D14" i="7"/>
  <c r="D13" i="7"/>
  <c r="E13" i="7" s="1"/>
  <c r="D12" i="7"/>
  <c r="D11" i="7"/>
  <c r="D8" i="7"/>
  <c r="D7" i="7"/>
  <c r="E7" i="7" s="1"/>
  <c r="D6" i="7"/>
  <c r="D5" i="7"/>
  <c r="B41" i="7"/>
  <c r="E40" i="7"/>
  <c r="B40" i="7"/>
  <c r="E39" i="7"/>
  <c r="C39" i="7"/>
  <c r="B39" i="7"/>
  <c r="E38" i="7"/>
  <c r="C38" i="7"/>
  <c r="B38" i="7"/>
  <c r="B37" i="7"/>
  <c r="B36" i="7"/>
  <c r="B35" i="7"/>
  <c r="B34" i="7"/>
  <c r="B33" i="7"/>
  <c r="C32" i="7"/>
  <c r="B32" i="7"/>
  <c r="E31" i="7"/>
  <c r="C31" i="7"/>
  <c r="B31" i="7"/>
  <c r="B30" i="7"/>
  <c r="B29" i="7"/>
  <c r="B28" i="7"/>
  <c r="C27" i="7"/>
  <c r="B27" i="7"/>
  <c r="B26" i="7"/>
  <c r="E25" i="7"/>
  <c r="C25" i="7"/>
  <c r="B25" i="7"/>
  <c r="E19" i="7"/>
  <c r="C19" i="7"/>
  <c r="D20" i="7"/>
  <c r="E14" i="7"/>
  <c r="C14" i="7"/>
  <c r="E12" i="7"/>
  <c r="C12" i="7"/>
  <c r="E11" i="7"/>
  <c r="E8" i="7"/>
  <c r="C8" i="7"/>
  <c r="B8" i="7"/>
  <c r="B14" i="7" s="1"/>
  <c r="B7" i="7"/>
  <c r="B13" i="7" s="1"/>
  <c r="E6" i="7"/>
  <c r="C6" i="7"/>
  <c r="B6" i="7"/>
  <c r="B12" i="7" s="1"/>
  <c r="B5" i="7"/>
  <c r="B11" i="7" s="1"/>
  <c r="B13" i="6"/>
  <c r="B7" i="2"/>
  <c r="C7" i="2"/>
  <c r="D7" i="2"/>
  <c r="D11" i="2" s="1"/>
  <c r="B8" i="2"/>
  <c r="C8" i="2"/>
  <c r="D8" i="2"/>
  <c r="B9" i="2"/>
  <c r="B11" i="2" s="1"/>
  <c r="C9" i="2"/>
  <c r="D9" i="2"/>
  <c r="B10" i="2"/>
  <c r="C10" i="2"/>
  <c r="C11" i="2" s="1"/>
  <c r="D10" i="2"/>
  <c r="B16" i="2"/>
  <c r="C16" i="2"/>
  <c r="D16" i="2"/>
  <c r="B17" i="2"/>
  <c r="B20" i="2" s="1"/>
  <c r="C17" i="2"/>
  <c r="D17" i="2"/>
  <c r="B18" i="2"/>
  <c r="C18" i="2"/>
  <c r="C20" i="2" s="1"/>
  <c r="C22" i="2" s="1"/>
  <c r="D18" i="2"/>
  <c r="B19" i="2"/>
  <c r="C19" i="2"/>
  <c r="D19" i="2"/>
  <c r="D20" i="2" s="1"/>
  <c r="B24" i="2"/>
  <c r="C24" i="2"/>
  <c r="D24" i="2"/>
  <c r="B41" i="2"/>
  <c r="C41" i="2"/>
  <c r="C43" i="2" s="1"/>
  <c r="D41" i="2"/>
  <c r="E41" i="2"/>
  <c r="F41" i="2"/>
  <c r="B32" i="2"/>
  <c r="B43" i="2" s="1"/>
  <c r="C32" i="2"/>
  <c r="D32" i="2"/>
  <c r="D43" i="2"/>
  <c r="D45" i="2" s="1"/>
  <c r="N42" i="2"/>
  <c r="D41" i="7" s="1"/>
  <c r="E41" i="7" s="1"/>
  <c r="M41" i="2"/>
  <c r="L41" i="2"/>
  <c r="K41" i="2"/>
  <c r="J41" i="2"/>
  <c r="I41" i="2"/>
  <c r="H41" i="2"/>
  <c r="G41" i="2"/>
  <c r="N41" i="2"/>
  <c r="N40" i="2"/>
  <c r="N39" i="2"/>
  <c r="N38" i="2"/>
  <c r="N37" i="2"/>
  <c r="N36" i="2"/>
  <c r="N35" i="2"/>
  <c r="N34" i="2"/>
  <c r="N33" i="2"/>
  <c r="M32" i="2"/>
  <c r="M43" i="2" s="1"/>
  <c r="M45" i="2" s="1"/>
  <c r="L32" i="2"/>
  <c r="L43" i="2" s="1"/>
  <c r="L45" i="2" s="1"/>
  <c r="K32" i="2"/>
  <c r="K43" i="2" s="1"/>
  <c r="K45" i="2" s="1"/>
  <c r="J32" i="2"/>
  <c r="J43" i="2" s="1"/>
  <c r="J45" i="2" s="1"/>
  <c r="I32" i="2"/>
  <c r="I43" i="2" s="1"/>
  <c r="I45" i="2" s="1"/>
  <c r="H32" i="2"/>
  <c r="H43" i="2" s="1"/>
  <c r="H45" i="2" s="1"/>
  <c r="G32" i="2"/>
  <c r="G43" i="2" s="1"/>
  <c r="G45" i="2" s="1"/>
  <c r="F32" i="2"/>
  <c r="F43" i="2" s="1"/>
  <c r="F45" i="2" s="1"/>
  <c r="E32" i="2"/>
  <c r="N31" i="2"/>
  <c r="N30" i="2"/>
  <c r="N29" i="2"/>
  <c r="N28" i="2"/>
  <c r="N27" i="2"/>
  <c r="N26" i="2"/>
  <c r="M24" i="2"/>
  <c r="L24" i="2"/>
  <c r="K24" i="2"/>
  <c r="J24" i="2"/>
  <c r="I24" i="2"/>
  <c r="H24" i="2"/>
  <c r="G24" i="2"/>
  <c r="F24" i="2"/>
  <c r="E24" i="2"/>
  <c r="N24" i="2" s="1"/>
  <c r="P19" i="2"/>
  <c r="F19" i="2" s="1"/>
  <c r="G19" i="2"/>
  <c r="Q10" i="2"/>
  <c r="G10" i="2" s="1"/>
  <c r="P10" i="2"/>
  <c r="M10" i="2" s="1"/>
  <c r="L10" i="2"/>
  <c r="I10" i="2"/>
  <c r="H10" i="2"/>
  <c r="Q9" i="2"/>
  <c r="L9" i="2" s="1"/>
  <c r="P9" i="2"/>
  <c r="P18" i="2" s="1"/>
  <c r="M9" i="2"/>
  <c r="H9" i="2"/>
  <c r="E9" i="2"/>
  <c r="Q8" i="2"/>
  <c r="G8" i="2" s="1"/>
  <c r="P8" i="2"/>
  <c r="M8" i="2" s="1"/>
  <c r="L8" i="2"/>
  <c r="I8" i="2"/>
  <c r="H8" i="2"/>
  <c r="Q7" i="2"/>
  <c r="L7" i="2" s="1"/>
  <c r="L11" i="2" s="1"/>
  <c r="P7" i="2"/>
  <c r="P16" i="2" s="1"/>
  <c r="M7" i="2"/>
  <c r="H7" i="2"/>
  <c r="H11" i="2" s="1"/>
  <c r="E7" i="2"/>
  <c r="P7" i="1"/>
  <c r="E7" i="1" s="1"/>
  <c r="Q7" i="1"/>
  <c r="H8" i="1"/>
  <c r="I8" i="1"/>
  <c r="P8" i="1"/>
  <c r="J8" i="1" s="1"/>
  <c r="Q8" i="1"/>
  <c r="G8" i="1" s="1"/>
  <c r="P9" i="1"/>
  <c r="G9" i="1" s="1"/>
  <c r="Q9" i="1"/>
  <c r="I10" i="1"/>
  <c r="J10" i="1"/>
  <c r="K10" i="1"/>
  <c r="P10" i="1"/>
  <c r="L10" i="1" s="1"/>
  <c r="Q10" i="1"/>
  <c r="G10" i="1" s="1"/>
  <c r="P17" i="1"/>
  <c r="H17" i="1" s="1"/>
  <c r="G19" i="1"/>
  <c r="H19" i="1"/>
  <c r="I19" i="1"/>
  <c r="J19" i="1"/>
  <c r="K19" i="1"/>
  <c r="P19" i="1"/>
  <c r="L19" i="1" s="1"/>
  <c r="E24" i="1"/>
  <c r="F24" i="1"/>
  <c r="G24" i="1"/>
  <c r="H24" i="1"/>
  <c r="I24" i="1"/>
  <c r="J24" i="1"/>
  <c r="K24" i="1"/>
  <c r="L24" i="1"/>
  <c r="M24" i="1"/>
  <c r="N24" i="1"/>
  <c r="E18" i="7" s="1"/>
  <c r="N26" i="1"/>
  <c r="N27" i="1"/>
  <c r="N28" i="1"/>
  <c r="N29" i="1"/>
  <c r="N30" i="1"/>
  <c r="D29" i="7" s="1"/>
  <c r="C29" i="7" s="1"/>
  <c r="N31" i="1"/>
  <c r="E32" i="1"/>
  <c r="F32" i="1"/>
  <c r="G32" i="1"/>
  <c r="H32" i="1"/>
  <c r="I32" i="1"/>
  <c r="J32" i="1"/>
  <c r="K32" i="1"/>
  <c r="L32" i="1"/>
  <c r="M32" i="1"/>
  <c r="N33" i="1"/>
  <c r="N34" i="1"/>
  <c r="N35" i="1"/>
  <c r="N36" i="1"/>
  <c r="N37" i="1"/>
  <c r="N38" i="1"/>
  <c r="N39" i="1"/>
  <c r="N40" i="1"/>
  <c r="E41" i="1"/>
  <c r="F41" i="1"/>
  <c r="G41" i="1"/>
  <c r="H41" i="1"/>
  <c r="I41" i="1"/>
  <c r="J41" i="1"/>
  <c r="K41" i="1"/>
  <c r="L41" i="1"/>
  <c r="M41" i="1"/>
  <c r="N42" i="1"/>
  <c r="C43" i="1"/>
  <c r="C45" i="1" s="1"/>
  <c r="E43" i="1"/>
  <c r="E45" i="1" s="1"/>
  <c r="F43" i="1"/>
  <c r="F45" i="1" s="1"/>
  <c r="G43" i="1"/>
  <c r="G45" i="1" s="1"/>
  <c r="H43" i="1"/>
  <c r="H45" i="1" s="1"/>
  <c r="I43" i="1"/>
  <c r="I45" i="1" s="1"/>
  <c r="J43" i="1"/>
  <c r="J45" i="1" s="1"/>
  <c r="K43" i="1"/>
  <c r="K45" i="1" s="1"/>
  <c r="L43" i="1"/>
  <c r="L45" i="1" s="1"/>
  <c r="M43" i="1"/>
  <c r="M45" i="1" s="1"/>
  <c r="E62" i="5" l="1"/>
  <c r="C62" i="5"/>
  <c r="B20" i="3"/>
  <c r="D65" i="5"/>
  <c r="C58" i="7"/>
  <c r="E58" i="7"/>
  <c r="B22" i="1"/>
  <c r="C18" i="7"/>
  <c r="D45" i="1"/>
  <c r="N32" i="1"/>
  <c r="D22" i="1"/>
  <c r="B45" i="2"/>
  <c r="C5" i="2" s="1"/>
  <c r="B49" i="2" s="1"/>
  <c r="D58" i="7"/>
  <c r="C41" i="7"/>
  <c r="E37" i="7"/>
  <c r="C36" i="7"/>
  <c r="C35" i="7"/>
  <c r="E34" i="7"/>
  <c r="C33" i="7"/>
  <c r="C30" i="7"/>
  <c r="E29" i="7"/>
  <c r="E28" i="7"/>
  <c r="D42" i="7"/>
  <c r="D43" i="7" s="1"/>
  <c r="C26" i="7"/>
  <c r="C7" i="7"/>
  <c r="D9" i="7"/>
  <c r="C9" i="7" s="1"/>
  <c r="E5" i="7"/>
  <c r="C5" i="7"/>
  <c r="E20" i="7"/>
  <c r="C20" i="7"/>
  <c r="C11" i="7"/>
  <c r="C13" i="7"/>
  <c r="D15" i="7"/>
  <c r="B22" i="2"/>
  <c r="D22" i="2"/>
  <c r="C45" i="2"/>
  <c r="C47" i="2" s="1"/>
  <c r="N32" i="2"/>
  <c r="N43" i="2" s="1"/>
  <c r="N45" i="2" s="1"/>
  <c r="D47" i="2"/>
  <c r="D49" i="2"/>
  <c r="B47" i="2"/>
  <c r="G16" i="2"/>
  <c r="H16" i="2"/>
  <c r="F16" i="2"/>
  <c r="M16" i="2"/>
  <c r="E16" i="2"/>
  <c r="L16" i="2"/>
  <c r="K16" i="2"/>
  <c r="J16" i="2"/>
  <c r="I16" i="2"/>
  <c r="M11" i="2"/>
  <c r="L49" i="2"/>
  <c r="I18" i="2"/>
  <c r="H18" i="2"/>
  <c r="G18" i="2"/>
  <c r="F18" i="2"/>
  <c r="M18" i="2"/>
  <c r="E18" i="2"/>
  <c r="N18" i="2" s="1"/>
  <c r="J18" i="2"/>
  <c r="L18" i="2"/>
  <c r="K18" i="2"/>
  <c r="H49" i="2"/>
  <c r="F7" i="2"/>
  <c r="F11" i="2" s="1"/>
  <c r="N7" i="2"/>
  <c r="J8" i="2"/>
  <c r="F9" i="2"/>
  <c r="N9" i="2" s="1"/>
  <c r="J10" i="2"/>
  <c r="H19" i="2"/>
  <c r="G7" i="2"/>
  <c r="K8" i="2"/>
  <c r="G9" i="2"/>
  <c r="K10" i="2"/>
  <c r="P17" i="2"/>
  <c r="I19" i="2"/>
  <c r="J19" i="2"/>
  <c r="E43" i="2"/>
  <c r="E45" i="2" s="1"/>
  <c r="I7" i="2"/>
  <c r="E8" i="2"/>
  <c r="N8" i="2" s="1"/>
  <c r="I9" i="2"/>
  <c r="E10" i="2"/>
  <c r="N10" i="2" s="1"/>
  <c r="K19" i="2"/>
  <c r="J7" i="2"/>
  <c r="F8" i="2"/>
  <c r="J9" i="2"/>
  <c r="F10" i="2"/>
  <c r="L19" i="2"/>
  <c r="K7" i="2"/>
  <c r="K9" i="2"/>
  <c r="E19" i="2"/>
  <c r="M19" i="2"/>
  <c r="I7" i="1"/>
  <c r="I11" i="1" s="1"/>
  <c r="I49" i="1" s="1"/>
  <c r="P16" i="1"/>
  <c r="J16" i="1" s="1"/>
  <c r="H7" i="1"/>
  <c r="I16" i="1"/>
  <c r="G16" i="1"/>
  <c r="L7" i="1"/>
  <c r="K7" i="1"/>
  <c r="J7" i="1"/>
  <c r="D5" i="1"/>
  <c r="C50" i="1" s="1"/>
  <c r="C47" i="1"/>
  <c r="G17" i="1"/>
  <c r="M17" i="1"/>
  <c r="L9" i="1"/>
  <c r="L17" i="1"/>
  <c r="F16" i="1"/>
  <c r="H10" i="1"/>
  <c r="K9" i="1"/>
  <c r="F8" i="1"/>
  <c r="K17" i="1"/>
  <c r="E16" i="1"/>
  <c r="J9" i="1"/>
  <c r="J11" i="1" s="1"/>
  <c r="J49" i="1" s="1"/>
  <c r="M8" i="1"/>
  <c r="E8" i="1"/>
  <c r="E11" i="1" s="1"/>
  <c r="F17" i="1"/>
  <c r="E9" i="1"/>
  <c r="N9" i="1" s="1"/>
  <c r="F19" i="1"/>
  <c r="J17" i="1"/>
  <c r="L16" i="1"/>
  <c r="F10" i="1"/>
  <c r="I9" i="1"/>
  <c r="L8" i="1"/>
  <c r="G7" i="1"/>
  <c r="G11" i="1" s="1"/>
  <c r="F9" i="1"/>
  <c r="E17" i="1"/>
  <c r="M19" i="1"/>
  <c r="E19" i="1"/>
  <c r="N19" i="1" s="1"/>
  <c r="I17" i="1"/>
  <c r="K16" i="1"/>
  <c r="M10" i="1"/>
  <c r="E10" i="1"/>
  <c r="H9" i="1"/>
  <c r="K8" i="1"/>
  <c r="K11" i="1" s="1"/>
  <c r="F7" i="1"/>
  <c r="M9" i="1"/>
  <c r="M16" i="1"/>
  <c r="P18" i="1"/>
  <c r="M7" i="1"/>
  <c r="G49" i="1"/>
  <c r="C49" i="1"/>
  <c r="B6" i="5"/>
  <c r="B12" i="5" s="1"/>
  <c r="B7" i="5"/>
  <c r="B13" i="5" s="1"/>
  <c r="B8" i="5"/>
  <c r="B14" i="5" s="1"/>
  <c r="B5" i="5"/>
  <c r="B11" i="5" s="1"/>
  <c r="D47" i="1" l="1"/>
  <c r="E5" i="1"/>
  <c r="D50" i="1" s="1"/>
  <c r="D49" i="1"/>
  <c r="E42" i="7"/>
  <c r="E43" i="7" s="1"/>
  <c r="D5" i="2"/>
  <c r="C50" i="2" s="1"/>
  <c r="C42" i="7"/>
  <c r="C43" i="7" s="1"/>
  <c r="E9" i="7"/>
  <c r="E15" i="7"/>
  <c r="D44" i="7"/>
  <c r="D60" i="7" s="1"/>
  <c r="C15" i="7"/>
  <c r="D22" i="7"/>
  <c r="C49" i="2"/>
  <c r="K11" i="2"/>
  <c r="F49" i="2"/>
  <c r="B50" i="2"/>
  <c r="N11" i="2"/>
  <c r="I11" i="2"/>
  <c r="N16" i="2"/>
  <c r="G11" i="2"/>
  <c r="M20" i="2"/>
  <c r="M22" i="2" s="1"/>
  <c r="M47" i="2" s="1"/>
  <c r="J20" i="2"/>
  <c r="J11" i="2"/>
  <c r="M49" i="2"/>
  <c r="N19" i="2"/>
  <c r="L17" i="2"/>
  <c r="L20" i="2" s="1"/>
  <c r="K17" i="2"/>
  <c r="K20" i="2" s="1"/>
  <c r="L5" i="2" s="1"/>
  <c r="K50" i="2" s="1"/>
  <c r="J17" i="2"/>
  <c r="M17" i="2"/>
  <c r="I17" i="2"/>
  <c r="I20" i="2" s="1"/>
  <c r="E17" i="2"/>
  <c r="H17" i="2"/>
  <c r="H20" i="2" s="1"/>
  <c r="H22" i="2" s="1"/>
  <c r="H47" i="2" s="1"/>
  <c r="G17" i="2"/>
  <c r="G20" i="2" s="1"/>
  <c r="H5" i="2" s="1"/>
  <c r="G50" i="2" s="1"/>
  <c r="F17" i="2"/>
  <c r="F20" i="2" s="1"/>
  <c r="F22" i="2" s="1"/>
  <c r="F47" i="2" s="1"/>
  <c r="E11" i="2"/>
  <c r="N7" i="1"/>
  <c r="H11" i="1"/>
  <c r="H22" i="1" s="1"/>
  <c r="H47" i="1" s="1"/>
  <c r="H16" i="1"/>
  <c r="L11" i="1"/>
  <c r="L49" i="1" s="1"/>
  <c r="E49" i="1"/>
  <c r="K49" i="1"/>
  <c r="M11" i="1"/>
  <c r="N16" i="1"/>
  <c r="N17" i="1"/>
  <c r="F18" i="1"/>
  <c r="I18" i="1"/>
  <c r="I20" i="1" s="1"/>
  <c r="I22" i="1" s="1"/>
  <c r="I47" i="1" s="1"/>
  <c r="L18" i="1"/>
  <c r="L20" i="1" s="1"/>
  <c r="M18" i="1"/>
  <c r="G18" i="1"/>
  <c r="E18" i="1"/>
  <c r="E20" i="1" s="1"/>
  <c r="E22" i="1" s="1"/>
  <c r="E47" i="1" s="1"/>
  <c r="H18" i="1"/>
  <c r="H20" i="1" s="1"/>
  <c r="I5" i="1" s="1"/>
  <c r="H50" i="1" s="1"/>
  <c r="K18" i="1"/>
  <c r="K20" i="1" s="1"/>
  <c r="J18" i="1"/>
  <c r="J20" i="1" s="1"/>
  <c r="M20" i="1"/>
  <c r="N10" i="1"/>
  <c r="N8" i="1"/>
  <c r="N11" i="1" s="1"/>
  <c r="F11" i="1"/>
  <c r="F20" i="1"/>
  <c r="G5" i="1" s="1"/>
  <c r="F50" i="1" s="1"/>
  <c r="B47" i="5"/>
  <c r="E56" i="5"/>
  <c r="C56" i="5"/>
  <c r="C19" i="5"/>
  <c r="E19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C47" i="5"/>
  <c r="D47" i="5"/>
  <c r="E47" i="5"/>
  <c r="C48" i="5"/>
  <c r="E48" i="5"/>
  <c r="C49" i="5"/>
  <c r="E49" i="5"/>
  <c r="C50" i="5"/>
  <c r="E50" i="5"/>
  <c r="C51" i="5"/>
  <c r="E51" i="5"/>
  <c r="C52" i="5"/>
  <c r="E52" i="5"/>
  <c r="C53" i="5"/>
  <c r="E53" i="5"/>
  <c r="C54" i="5"/>
  <c r="E54" i="5"/>
  <c r="C55" i="5"/>
  <c r="E55" i="5"/>
  <c r="E18" i="5"/>
  <c r="C65" i="5" l="1"/>
  <c r="E65" i="5"/>
  <c r="C22" i="7"/>
  <c r="C44" i="7" s="1"/>
  <c r="C60" i="7" s="1"/>
  <c r="E22" i="7"/>
  <c r="E44" i="7" s="1"/>
  <c r="E60" i="7" s="1"/>
  <c r="L22" i="2"/>
  <c r="L47" i="2" s="1"/>
  <c r="M5" i="2"/>
  <c r="L50" i="2" s="1"/>
  <c r="E5" i="2"/>
  <c r="E49" i="2"/>
  <c r="N17" i="2"/>
  <c r="E20" i="2"/>
  <c r="F5" i="2" s="1"/>
  <c r="E50" i="2" s="1"/>
  <c r="G49" i="2"/>
  <c r="G22" i="2"/>
  <c r="G47" i="2" s="1"/>
  <c r="G5" i="2"/>
  <c r="F50" i="2" s="1"/>
  <c r="I49" i="2"/>
  <c r="I22" i="2"/>
  <c r="I47" i="2" s="1"/>
  <c r="I5" i="2"/>
  <c r="H50" i="2" s="1"/>
  <c r="N20" i="2"/>
  <c r="N22" i="2" s="1"/>
  <c r="N47" i="2" s="1"/>
  <c r="J49" i="2"/>
  <c r="J22" i="2"/>
  <c r="J47" i="2" s="1"/>
  <c r="J5" i="2"/>
  <c r="I50" i="2" s="1"/>
  <c r="K49" i="2"/>
  <c r="K22" i="2"/>
  <c r="K47" i="2" s="1"/>
  <c r="K5" i="2"/>
  <c r="J50" i="2" s="1"/>
  <c r="H49" i="1"/>
  <c r="L22" i="1"/>
  <c r="L47" i="1" s="1"/>
  <c r="J22" i="1"/>
  <c r="J47" i="1" s="1"/>
  <c r="K5" i="1"/>
  <c r="J50" i="1" s="1"/>
  <c r="L5" i="1"/>
  <c r="K22" i="1"/>
  <c r="K47" i="1" s="1"/>
  <c r="F22" i="1"/>
  <c r="F47" i="1" s="1"/>
  <c r="F49" i="1"/>
  <c r="J5" i="1"/>
  <c r="I50" i="1" s="1"/>
  <c r="N18" i="1"/>
  <c r="N20" i="1" s="1"/>
  <c r="N22" i="1" s="1"/>
  <c r="G20" i="1"/>
  <c r="M49" i="1"/>
  <c r="M22" i="1"/>
  <c r="M47" i="1" s="1"/>
  <c r="M5" i="1"/>
  <c r="D18" i="5"/>
  <c r="D20" i="5" s="1"/>
  <c r="C20" i="5" s="1"/>
  <c r="C18" i="5"/>
  <c r="B5" i="2" l="1"/>
  <c r="N5" i="2" s="1"/>
  <c r="E22" i="2"/>
  <c r="E47" i="2" s="1"/>
  <c r="N49" i="2"/>
  <c r="D50" i="2"/>
  <c r="H5" i="1"/>
  <c r="G50" i="1" s="1"/>
  <c r="G22" i="1"/>
  <c r="G47" i="1" s="1"/>
  <c r="E50" i="1"/>
  <c r="E20" i="5"/>
  <c r="D13" i="5" l="1"/>
  <c r="D7" i="5"/>
  <c r="D32" i="5"/>
  <c r="D26" i="5"/>
  <c r="D27" i="5"/>
  <c r="D28" i="5"/>
  <c r="D29" i="5"/>
  <c r="D30" i="5"/>
  <c r="D31" i="5"/>
  <c r="D33" i="5"/>
  <c r="D34" i="5"/>
  <c r="D35" i="5"/>
  <c r="D36" i="5"/>
  <c r="D37" i="5"/>
  <c r="D38" i="5"/>
  <c r="D39" i="5"/>
  <c r="D41" i="5"/>
  <c r="C7" i="5" l="1"/>
  <c r="E7" i="5"/>
  <c r="C13" i="5"/>
  <c r="E13" i="5"/>
  <c r="D25" i="5"/>
  <c r="C41" i="5"/>
  <c r="E41" i="5"/>
  <c r="E30" i="5"/>
  <c r="C30" i="5"/>
  <c r="E38" i="5"/>
  <c r="C38" i="5"/>
  <c r="C29" i="5"/>
  <c r="E29" i="5"/>
  <c r="C37" i="5"/>
  <c r="E37" i="5"/>
  <c r="E28" i="5"/>
  <c r="C28" i="5"/>
  <c r="E32" i="5"/>
  <c r="C32" i="5"/>
  <c r="C39" i="5"/>
  <c r="E39" i="5"/>
  <c r="E36" i="5"/>
  <c r="C36" i="5"/>
  <c r="E26" i="5"/>
  <c r="C26" i="5"/>
  <c r="E33" i="5"/>
  <c r="C33" i="5"/>
  <c r="C27" i="5"/>
  <c r="E27" i="5"/>
  <c r="E35" i="5"/>
  <c r="C35" i="5"/>
  <c r="E34" i="5"/>
  <c r="C34" i="5"/>
  <c r="E31" i="5"/>
  <c r="C31" i="5"/>
  <c r="D8" i="5" l="1"/>
  <c r="D14" i="5"/>
  <c r="C25" i="5"/>
  <c r="E25" i="5"/>
  <c r="E8" i="5" l="1"/>
  <c r="C8" i="5"/>
  <c r="E14" i="5"/>
  <c r="C14" i="5"/>
  <c r="D12" i="5" l="1"/>
  <c r="D6" i="5"/>
  <c r="E6" i="5" s="1"/>
  <c r="D11" i="5" l="1"/>
  <c r="D5" i="5"/>
  <c r="C12" i="5"/>
  <c r="E12" i="5"/>
  <c r="D15" i="5" l="1"/>
  <c r="E11" i="5"/>
  <c r="C11" i="5"/>
  <c r="D9" i="5"/>
  <c r="C5" i="5"/>
  <c r="E5" i="5"/>
  <c r="C6" i="5"/>
  <c r="E9" i="5" l="1"/>
  <c r="C9" i="5"/>
  <c r="C15" i="5" l="1"/>
  <c r="D22" i="5"/>
  <c r="E15" i="5"/>
  <c r="C22" i="5" l="1"/>
  <c r="E22" i="5"/>
  <c r="N41" i="1"/>
  <c r="D40" i="5" l="1"/>
  <c r="N43" i="1"/>
  <c r="N45" i="1" s="1"/>
  <c r="N47" i="1" s="1"/>
  <c r="B43" i="1"/>
  <c r="B45" i="1" s="1"/>
  <c r="C5" i="1" l="1"/>
  <c r="B47" i="1"/>
  <c r="D42" i="5"/>
  <c r="D43" i="5" s="1"/>
  <c r="D44" i="5" s="1"/>
  <c r="D67" i="5" s="1"/>
  <c r="C40" i="5"/>
  <c r="C42" i="5" s="1"/>
  <c r="E40" i="5"/>
  <c r="E42" i="5" s="1"/>
  <c r="C44" i="5" l="1"/>
  <c r="C67" i="5" s="1"/>
  <c r="C43" i="5"/>
  <c r="E44" i="5"/>
  <c r="E67" i="5" s="1"/>
  <c r="E43" i="5"/>
  <c r="N5" i="1"/>
  <c r="B49" i="1"/>
  <c r="N49" i="1" l="1"/>
  <c r="B50" i="1"/>
  <c r="N50" i="1" s="1"/>
</calcChain>
</file>

<file path=xl/sharedStrings.xml><?xml version="1.0" encoding="utf-8"?>
<sst xmlns="http://schemas.openxmlformats.org/spreadsheetml/2006/main" count="307" uniqueCount="170">
  <si>
    <t>CASH FLOW FORECAST - YEAR 1 ( INC VAT)</t>
  </si>
  <si>
    <t>Month</t>
  </si>
  <si>
    <t>INCOME</t>
  </si>
  <si>
    <t>Food</t>
  </si>
  <si>
    <t>Bar</t>
  </si>
  <si>
    <t>TOTAL</t>
  </si>
  <si>
    <t>OUTGOINGS</t>
  </si>
  <si>
    <t>VAT</t>
  </si>
  <si>
    <t>Account Purchases Food</t>
  </si>
  <si>
    <t>Wages (Inc NI)</t>
  </si>
  <si>
    <t>Insurance Heat, light, logs</t>
  </si>
  <si>
    <t>Postage/Stationary</t>
  </si>
  <si>
    <t>Advertising</t>
  </si>
  <si>
    <t>Telephone</t>
  </si>
  <si>
    <t>Consumables</t>
  </si>
  <si>
    <t>Crockery &amp; Glass</t>
  </si>
  <si>
    <t>Rates</t>
  </si>
  <si>
    <t>Repairs &amp; Renewals</t>
  </si>
  <si>
    <t>Water</t>
  </si>
  <si>
    <t>Stocktaking</t>
  </si>
  <si>
    <t>Accountancy</t>
  </si>
  <si>
    <t>C/card Fees</t>
  </si>
  <si>
    <t>General Expenses</t>
  </si>
  <si>
    <t>Loan Repayments</t>
  </si>
  <si>
    <t>TOTAL OUTGOINGS</t>
  </si>
  <si>
    <t>Flooring</t>
  </si>
  <si>
    <t>Signage</t>
  </si>
  <si>
    <t xml:space="preserve">Total </t>
  </si>
  <si>
    <t>Annual</t>
  </si>
  <si>
    <t>Bank Charges</t>
  </si>
  <si>
    <t>Formal mail</t>
  </si>
  <si>
    <t>Mainly social media</t>
  </si>
  <si>
    <t>All electric</t>
  </si>
  <si>
    <t>Hi speed BB inc WiFi</t>
  </si>
  <si>
    <t>Buy and replace breakables</t>
  </si>
  <si>
    <t>As per Jane's figures</t>
  </si>
  <si>
    <t>Based on 4000l per day plus sewerage</t>
  </si>
  <si>
    <t>Doing books for Ltd company</t>
  </si>
  <si>
    <t>Sumup commission</t>
  </si>
  <si>
    <t>Beermats, napkins, etc</t>
  </si>
  <si>
    <t>Business account etc</t>
  </si>
  <si>
    <t>Routine maintenance</t>
  </si>
  <si>
    <t>Waste Disposal</t>
  </si>
  <si>
    <t>Done by volunteers</t>
  </si>
  <si>
    <t>Licence fee</t>
  </si>
  <si>
    <t>Account Purchases Bar</t>
  </si>
  <si>
    <t>Qty</t>
  </si>
  <si>
    <t>Price</t>
  </si>
  <si>
    <t>Cost</t>
  </si>
  <si>
    <t>NET PROFIT/LOSS</t>
  </si>
  <si>
    <t>Total 1st Year Costs</t>
  </si>
  <si>
    <t>Re-decorate</t>
  </si>
  <si>
    <t>Survey/Valuation</t>
  </si>
  <si>
    <t>Legal Fees/IPS set up</t>
  </si>
  <si>
    <t>EXCEPTIONAL 1st year costs</t>
  </si>
  <si>
    <t>NET OPERATING PROFIT/LOSS</t>
  </si>
  <si>
    <t>Total Overheads</t>
  </si>
  <si>
    <t>OVERHEADS</t>
  </si>
  <si>
    <t>Gross Profit after Labour Costs</t>
  </si>
  <si>
    <t>Total Labour costs</t>
  </si>
  <si>
    <t>Management</t>
  </si>
  <si>
    <t>LABOUR COSTS</t>
  </si>
  <si>
    <t>Total Gross Profit</t>
  </si>
  <si>
    <t>GROSS PROFIT</t>
  </si>
  <si>
    <t>Total Sales</t>
  </si>
  <si>
    <t>SALES</t>
  </si>
  <si>
    <t>Optimistic</t>
  </si>
  <si>
    <t>Realistic</t>
  </si>
  <si>
    <t>Pessimistic</t>
  </si>
  <si>
    <t>Profit and Loss forecaset - Year 1, excluding VAT</t>
  </si>
  <si>
    <t>FINANCIAL BUDGETS AND FORECASTS</t>
  </si>
  <si>
    <t>Profit</t>
  </si>
  <si>
    <t>Profit per month</t>
  </si>
  <si>
    <t>Petty cash items</t>
  </si>
  <si>
    <t>TOTAL REVENUE</t>
  </si>
  <si>
    <t>TOTAL FOOD AND DRINK COST</t>
  </si>
  <si>
    <t>Landlord + oncosts @£40k pa</t>
  </si>
  <si>
    <t>TOTAL OVERHEADS</t>
  </si>
  <si>
    <t>TOTAL Overheads</t>
  </si>
  <si>
    <t>TOTAL OUTGOINGS INC STAFF</t>
  </si>
  <si>
    <t>TOTAL ANNUAL PROFIT</t>
  </si>
  <si>
    <t xml:space="preserve">Wages </t>
  </si>
  <si>
    <t xml:space="preserve">Pessimistic </t>
  </si>
  <si>
    <t>Total sales factor</t>
  </si>
  <si>
    <t>Binit Quote £57/week</t>
  </si>
  <si>
    <t>Band B £190 + £180pa</t>
  </si>
  <si>
    <t>Coffee bar</t>
  </si>
  <si>
    <t>Account Purchases coffee bar</t>
  </si>
  <si>
    <t>Based on pub opening</t>
  </si>
  <si>
    <t>Based on café opening</t>
  </si>
  <si>
    <t>Units per day</t>
  </si>
  <si>
    <t>Days</t>
  </si>
  <si>
    <t>tea/coffee etc</t>
  </si>
  <si>
    <t>Snacks</t>
  </si>
  <si>
    <t>Account Purchases snacks</t>
  </si>
  <si>
    <t>Bar food</t>
  </si>
  <si>
    <t>Beer etc</t>
  </si>
  <si>
    <t>Crisps/cakes etc</t>
  </si>
  <si>
    <t>OPENING</t>
  </si>
  <si>
    <t>Flood gates</t>
  </si>
  <si>
    <t>ONLY CHANGE THE NUMBERS IN THE GREEN BOXES</t>
  </si>
  <si>
    <t>Total outgoings</t>
  </si>
  <si>
    <t>Total cost food/drink</t>
  </si>
  <si>
    <t>Cash balance at end of month</t>
  </si>
  <si>
    <t>Increase in cash</t>
  </si>
  <si>
    <t>Cash balance at start of month</t>
  </si>
  <si>
    <t>ONLY CHANGE NUMBERS IN THE GREEN BOXES</t>
  </si>
  <si>
    <t>CHANGE NUMBERS IN GREEN BOXES</t>
  </si>
  <si>
    <t>Windows</t>
  </si>
  <si>
    <t>Refurbishments</t>
  </si>
  <si>
    <t>Kitchen and  equipment</t>
  </si>
  <si>
    <t>Toilets - demolish and replace</t>
  </si>
  <si>
    <t>Improvements to frontage</t>
  </si>
  <si>
    <t>Cost of employment</t>
  </si>
  <si>
    <t>CASH FLOW FORECAST - YEAR 2 ( INC VAT)</t>
  </si>
  <si>
    <t>Phase 2 works</t>
  </si>
  <si>
    <t>Profit and Loss forecaset - Year 2 excluding VAT</t>
  </si>
  <si>
    <t>Year 1 Capex</t>
  </si>
  <si>
    <t>Year 2 Capex</t>
  </si>
  <si>
    <t>Total 2nd Year Costs</t>
  </si>
  <si>
    <t>EXCEPTIONAL 2nd year costs</t>
  </si>
  <si>
    <t>Stock week 1</t>
  </si>
  <si>
    <t>Initital repayment</t>
  </si>
  <si>
    <t>Bank loan</t>
  </si>
  <si>
    <t>Assume 1-month lead in and c£40K pa</t>
  </si>
  <si>
    <t xml:space="preserve">Insurance </t>
  </si>
  <si>
    <t>Post/stationary ads</t>
  </si>
  <si>
    <t>Launch paperwork, mailshots etc</t>
  </si>
  <si>
    <t>Install phone/broadband</t>
  </si>
  <si>
    <t>Fixed start up costs based on 3-month lead in</t>
  </si>
  <si>
    <t>Initial stock</t>
  </si>
  <si>
    <t>3 months business rates</t>
  </si>
  <si>
    <t>Assume higher volume of water used by builders</t>
  </si>
  <si>
    <t>Setting up  accounts, contracts etc</t>
  </si>
  <si>
    <t>Based on 1-month supply</t>
  </si>
  <si>
    <t>Electricity</t>
  </si>
  <si>
    <t xml:space="preserve">Gas </t>
  </si>
  <si>
    <t>Assume high use by builders</t>
  </si>
  <si>
    <t>Security</t>
  </si>
  <si>
    <t>Locks, alarms etc</t>
  </si>
  <si>
    <t>Assume higher insurance until building occupied</t>
  </si>
  <si>
    <t>Furniture</t>
  </si>
  <si>
    <t>Tables and chairs etc</t>
  </si>
  <si>
    <t>Fittings</t>
  </si>
  <si>
    <t>Lighting, décor, curtains, blinds etc</t>
  </si>
  <si>
    <t>Based on 3 months for 15-year, £100K loan @ 7%</t>
  </si>
  <si>
    <t>Total first three months start up</t>
  </si>
  <si>
    <t>Reach funding to cover. Loan provider survey charges can go on the loan.</t>
  </si>
  <si>
    <t>Contingency</t>
  </si>
  <si>
    <t>Based on the usual cost overruns any building project accumulates. Assume</t>
  </si>
  <si>
    <t>Assume £50 per month - £200 to set up WiFi</t>
  </si>
  <si>
    <t>Crockery &amp; Glasses</t>
  </si>
  <si>
    <t>Assume 1-month pre opening. Binit Quote £57/week</t>
  </si>
  <si>
    <t>Business rates</t>
  </si>
  <si>
    <t>Standing charges and testing of gas appliances</t>
  </si>
  <si>
    <t>Contingency…</t>
  </si>
  <si>
    <t>Licencee fee</t>
  </si>
  <si>
    <t>Up front yearly fee</t>
  </si>
  <si>
    <t>FIXED Start up COSTS 3-months</t>
  </si>
  <si>
    <t>Based on loan of £100,000</t>
  </si>
  <si>
    <t>Building works</t>
  </si>
  <si>
    <t>Electrical works</t>
  </si>
  <si>
    <t>Water works</t>
  </si>
  <si>
    <t>ONLY IF WE NEED A LOAN</t>
  </si>
  <si>
    <t>INC VAT</t>
  </si>
  <si>
    <t>Disbursements; search, chancellry report, land registry etc</t>
  </si>
  <si>
    <t>Building works (Covers downstairs refurb, new toilets, replace plastic roofing etc</t>
  </si>
  <si>
    <t>New heating, pipework and gas. Tails to upstairs</t>
  </si>
  <si>
    <t>Rewire entire downstairs and upstairs</t>
  </si>
  <si>
    <t>No contingency at this statge as prices are agreed coveralls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</si>
</sst>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&quot;£&quot;#,##0.00"/>
    <numFmt numFmtId="166" formatCode="_-* #,##0_-;\-* #,##0_-;_-* &quot;-&quot;??_-;_-@_-"/>
    <numFmt numFmtId="167" formatCode="_-&quot;£&quot;* #,##0_-;\-&quot;£&quot;* #,##0_-;_-&quot;£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3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1" fillId="2" borderId="1" xfId="0" applyFont="1" applyFill="1" applyBorder="1"/>
    <xf numFmtId="164" fontId="0" fillId="2" borderId="1" xfId="0" applyNumberFormat="1" applyFill="1" applyBorder="1"/>
    <xf numFmtId="164" fontId="0" fillId="0" borderId="4" xfId="0" applyNumberFormat="1" applyBorder="1" applyAlignment="1">
      <alignment horizontal="center" vertic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 vertical="center"/>
    </xf>
    <xf numFmtId="165" fontId="0" fillId="0" borderId="0" xfId="0" applyNumberFormat="1"/>
    <xf numFmtId="9" fontId="0" fillId="0" borderId="0" xfId="2" applyFont="1"/>
    <xf numFmtId="166" fontId="0" fillId="2" borderId="1" xfId="1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2" borderId="4" xfId="0" applyNumberFormat="1" applyFill="1" applyBorder="1"/>
    <xf numFmtId="0" fontId="0" fillId="0" borderId="4" xfId="0" applyBorder="1"/>
    <xf numFmtId="0" fontId="1" fillId="0" borderId="4" xfId="0" applyFont="1" applyBorder="1"/>
    <xf numFmtId="0" fontId="0" fillId="0" borderId="5" xfId="0" applyBorder="1"/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/>
    <xf numFmtId="0" fontId="0" fillId="0" borderId="0" xfId="0" applyAlignment="1">
      <alignment horizontal="center"/>
    </xf>
    <xf numFmtId="0" fontId="0" fillId="4" borderId="1" xfId="0" applyFill="1" applyBorder="1"/>
    <xf numFmtId="0" fontId="1" fillId="4" borderId="1" xfId="0" applyFont="1" applyFill="1" applyBorder="1"/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2" borderId="2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2" xfId="0" applyFill="1" applyBorder="1"/>
    <xf numFmtId="165" fontId="0" fillId="2" borderId="2" xfId="0" applyNumberFormat="1" applyFill="1" applyBorder="1" applyAlignment="1">
      <alignment horizontal="center" vertical="center"/>
    </xf>
    <xf numFmtId="9" fontId="0" fillId="5" borderId="13" xfId="2" applyFont="1" applyFill="1" applyBorder="1"/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9" fontId="0" fillId="5" borderId="14" xfId="2" applyFont="1" applyFill="1" applyBorder="1"/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9" fontId="0" fillId="5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/>
    <xf numFmtId="164" fontId="1" fillId="6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/>
    <xf numFmtId="6" fontId="1" fillId="3" borderId="1" xfId="0" applyNumberFormat="1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0" fontId="1" fillId="2" borderId="1" xfId="0" applyFont="1" applyFill="1" applyBorder="1" applyAlignment="1">
      <alignment horizontal="center"/>
    </xf>
    <xf numFmtId="0" fontId="0" fillId="5" borderId="15" xfId="0" applyFill="1" applyBorder="1"/>
    <xf numFmtId="0" fontId="0" fillId="5" borderId="17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3" fillId="7" borderId="0" xfId="0" applyFont="1" applyFill="1"/>
    <xf numFmtId="0" fontId="1" fillId="7" borderId="0" xfId="0" applyFont="1" applyFill="1"/>
    <xf numFmtId="0" fontId="1" fillId="8" borderId="0" xfId="0" applyFont="1" applyFill="1"/>
    <xf numFmtId="0" fontId="0" fillId="8" borderId="0" xfId="0" applyFill="1"/>
    <xf numFmtId="0" fontId="0" fillId="8" borderId="0" xfId="0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3" fillId="8" borderId="0" xfId="0" applyFont="1" applyFill="1"/>
    <xf numFmtId="44" fontId="0" fillId="0" borderId="0" xfId="3" applyFont="1"/>
    <xf numFmtId="0" fontId="6" fillId="0" borderId="0" xfId="0" applyFont="1"/>
    <xf numFmtId="44" fontId="6" fillId="0" borderId="0" xfId="3" applyFont="1"/>
    <xf numFmtId="0" fontId="4" fillId="0" borderId="1" xfId="0" applyFont="1" applyBorder="1"/>
    <xf numFmtId="44" fontId="6" fillId="0" borderId="1" xfId="3" applyFont="1" applyBorder="1"/>
    <xf numFmtId="0" fontId="6" fillId="0" borderId="1" xfId="0" applyFont="1" applyBorder="1"/>
    <xf numFmtId="44" fontId="4" fillId="0" borderId="1" xfId="3" applyFont="1" applyBorder="1"/>
    <xf numFmtId="0" fontId="5" fillId="0" borderId="1" xfId="0" applyFont="1" applyBorder="1"/>
    <xf numFmtId="167" fontId="7" fillId="0" borderId="1" xfId="3" applyNumberFormat="1" applyFont="1" applyBorder="1"/>
    <xf numFmtId="164" fontId="6" fillId="5" borderId="1" xfId="0" applyNumberFormat="1" applyFont="1" applyFill="1" applyBorder="1" applyAlignment="1">
      <alignment horizontal="right" vertical="center"/>
    </xf>
    <xf numFmtId="164" fontId="6" fillId="5" borderId="0" xfId="0" applyNumberFormat="1" applyFont="1" applyFill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9" fontId="0" fillId="0" borderId="15" xfId="0" applyNumberFormat="1" applyBorder="1"/>
    <xf numFmtId="0" fontId="4" fillId="6" borderId="0" xfId="0" applyFont="1" applyFill="1"/>
    <xf numFmtId="164" fontId="4" fillId="6" borderId="15" xfId="0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1" fillId="6" borderId="0" xfId="0" applyFont="1" applyFill="1"/>
    <xf numFmtId="0" fontId="0" fillId="6" borderId="0" xfId="0" applyFill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T52"/>
  <sheetViews>
    <sheetView tabSelected="1" topLeftCell="A8" zoomScale="80" zoomScaleNormal="80" workbookViewId="0">
      <selection activeCell="U39" sqref="U39"/>
    </sheetView>
  </sheetViews>
  <sheetFormatPr defaultRowHeight="14.4" x14ac:dyDescent="0.3"/>
  <cols>
    <col min="1" max="1" width="37.109375" bestFit="1" customWidth="1"/>
    <col min="6" max="6" width="8.21875" bestFit="1" customWidth="1"/>
    <col min="8" max="11" width="9.33203125" bestFit="1" customWidth="1"/>
    <col min="14" max="14" width="11" bestFit="1" customWidth="1"/>
    <col min="15" max="15" width="35" customWidth="1"/>
    <col min="16" max="16" width="7.6640625" bestFit="1" customWidth="1"/>
    <col min="17" max="17" width="10.5546875" customWidth="1"/>
    <col min="18" max="18" width="6.109375" customWidth="1"/>
    <col min="19" max="19" width="4.88671875" style="27" bestFit="1" customWidth="1"/>
    <col min="20" max="20" width="11.6640625" style="27" bestFit="1" customWidth="1"/>
  </cols>
  <sheetData>
    <row r="1" spans="1:20" ht="13.8" customHeight="1" thickBot="1" x14ac:dyDescent="0.3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20" ht="13.8" customHeight="1" thickBot="1" x14ac:dyDescent="0.35">
      <c r="A2" s="2"/>
      <c r="D2" s="59" t="s">
        <v>100</v>
      </c>
      <c r="E2" s="60"/>
      <c r="F2" s="60"/>
      <c r="G2" s="60"/>
      <c r="H2" s="60"/>
      <c r="I2" s="60"/>
      <c r="J2" s="60"/>
      <c r="K2" s="61"/>
    </row>
    <row r="3" spans="1:20" ht="13.8" customHeight="1" x14ac:dyDescent="0.3">
      <c r="A3" s="2"/>
    </row>
    <row r="4" spans="1:20" s="2" customFormat="1" ht="15" thickBot="1" x14ac:dyDescent="0.35">
      <c r="A4" s="8" t="s">
        <v>1</v>
      </c>
      <c r="B4" s="54">
        <v>1</v>
      </c>
      <c r="C4" s="54">
        <v>2</v>
      </c>
      <c r="D4" s="54">
        <v>3</v>
      </c>
      <c r="E4" s="54">
        <v>4</v>
      </c>
      <c r="F4" s="54">
        <v>5</v>
      </c>
      <c r="G4" s="54">
        <v>6</v>
      </c>
      <c r="H4" s="54">
        <v>7</v>
      </c>
      <c r="I4" s="54">
        <v>8</v>
      </c>
      <c r="J4" s="54">
        <v>9</v>
      </c>
      <c r="K4" s="54">
        <v>10</v>
      </c>
      <c r="L4" s="54">
        <v>11</v>
      </c>
      <c r="M4" s="54">
        <v>12</v>
      </c>
      <c r="N4" s="8" t="s">
        <v>28</v>
      </c>
      <c r="O4" s="3"/>
      <c r="S4" s="31"/>
      <c r="T4" s="31"/>
    </row>
    <row r="5" spans="1:20" ht="15" thickBot="1" x14ac:dyDescent="0.35">
      <c r="A5" s="1" t="s">
        <v>105</v>
      </c>
      <c r="B5" s="4">
        <v>0</v>
      </c>
      <c r="C5" s="4">
        <f>C11-(B45+B20)</f>
        <v>5333.2183230020673</v>
      </c>
      <c r="D5" s="4">
        <f t="shared" ref="D5:M5" si="0">D11-(C45+C20)</f>
        <v>5332.2183230020673</v>
      </c>
      <c r="E5" s="4">
        <f>E11-(D45+D20)</f>
        <v>5331.2183230020673</v>
      </c>
      <c r="F5" s="4">
        <f>F11-(E45+E20)</f>
        <v>5331.2183230020673</v>
      </c>
      <c r="G5" s="4">
        <f t="shared" si="0"/>
        <v>5331.2183230020673</v>
      </c>
      <c r="H5" s="4">
        <f t="shared" si="0"/>
        <v>5331.2183230020673</v>
      </c>
      <c r="I5" s="4">
        <f t="shared" si="0"/>
        <v>5331.2183230020673</v>
      </c>
      <c r="J5" s="4">
        <f t="shared" si="0"/>
        <v>5331.2183230020673</v>
      </c>
      <c r="K5" s="4">
        <f t="shared" si="0"/>
        <v>5331.2183230020673</v>
      </c>
      <c r="L5" s="4">
        <f t="shared" si="0"/>
        <v>5331.2183230020673</v>
      </c>
      <c r="M5" s="4">
        <f t="shared" si="0"/>
        <v>5331.2183230020673</v>
      </c>
      <c r="N5" s="4">
        <f>SUM(B5:M5)</f>
        <v>58646.401553022741</v>
      </c>
      <c r="O5" s="1"/>
      <c r="S5" s="57" t="s">
        <v>98</v>
      </c>
      <c r="T5" s="58"/>
    </row>
    <row r="6" spans="1:20" x14ac:dyDescent="0.3">
      <c r="A6" s="3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1"/>
      <c r="P6" s="11" t="s">
        <v>46</v>
      </c>
      <c r="Q6" s="32" t="s">
        <v>47</v>
      </c>
      <c r="R6" s="35" t="s">
        <v>71</v>
      </c>
      <c r="S6" s="33" t="s">
        <v>91</v>
      </c>
      <c r="T6" s="34" t="s">
        <v>90</v>
      </c>
    </row>
    <row r="7" spans="1:20" x14ac:dyDescent="0.3">
      <c r="A7" s="1" t="s">
        <v>3</v>
      </c>
      <c r="B7" s="12">
        <f t="shared" ref="B7:D7" si="1">($P$7*$Q$7*4)</f>
        <v>3840</v>
      </c>
      <c r="C7" s="12">
        <f t="shared" si="1"/>
        <v>3840</v>
      </c>
      <c r="D7" s="12">
        <f t="shared" si="1"/>
        <v>3840</v>
      </c>
      <c r="E7" s="12">
        <f t="shared" ref="E7:M7" si="2">($P$7*$Q$7*4)</f>
        <v>3840</v>
      </c>
      <c r="F7" s="12">
        <f t="shared" si="2"/>
        <v>3840</v>
      </c>
      <c r="G7" s="12">
        <f t="shared" si="2"/>
        <v>3840</v>
      </c>
      <c r="H7" s="12">
        <f t="shared" si="2"/>
        <v>3840</v>
      </c>
      <c r="I7" s="12">
        <f t="shared" si="2"/>
        <v>3840</v>
      </c>
      <c r="J7" s="12">
        <f t="shared" si="2"/>
        <v>3840</v>
      </c>
      <c r="K7" s="12">
        <f t="shared" si="2"/>
        <v>3840</v>
      </c>
      <c r="L7" s="12">
        <f t="shared" si="2"/>
        <v>3840</v>
      </c>
      <c r="M7" s="12">
        <f t="shared" si="2"/>
        <v>3840</v>
      </c>
      <c r="N7" s="9">
        <f t="shared" ref="N7:N42" si="3">SUM(B7:M7)</f>
        <v>46080</v>
      </c>
      <c r="O7" s="1" t="s">
        <v>88</v>
      </c>
      <c r="P7" s="15">
        <f>S7*T7</f>
        <v>60</v>
      </c>
      <c r="Q7" s="36">
        <f>(Q16/(1-R7))</f>
        <v>16</v>
      </c>
      <c r="R7" s="37">
        <v>0.5</v>
      </c>
      <c r="S7" s="38">
        <v>3</v>
      </c>
      <c r="T7" s="39">
        <v>20</v>
      </c>
    </row>
    <row r="8" spans="1:20" x14ac:dyDescent="0.3">
      <c r="A8" s="1" t="s">
        <v>4</v>
      </c>
      <c r="B8" s="12">
        <f t="shared" ref="B8:D8" si="4">($P$8*$Q$8*4)</f>
        <v>15555.555555555558</v>
      </c>
      <c r="C8" s="12">
        <f t="shared" si="4"/>
        <v>15555.555555555558</v>
      </c>
      <c r="D8" s="12">
        <f t="shared" si="4"/>
        <v>15555.555555555558</v>
      </c>
      <c r="E8" s="12">
        <f t="shared" ref="E8:M8" si="5">($P$8*$Q$8*4)</f>
        <v>15555.555555555558</v>
      </c>
      <c r="F8" s="12">
        <f t="shared" si="5"/>
        <v>15555.555555555558</v>
      </c>
      <c r="G8" s="12">
        <f t="shared" si="5"/>
        <v>15555.555555555558</v>
      </c>
      <c r="H8" s="12">
        <f t="shared" si="5"/>
        <v>15555.555555555558</v>
      </c>
      <c r="I8" s="12">
        <f t="shared" si="5"/>
        <v>15555.555555555558</v>
      </c>
      <c r="J8" s="12">
        <f t="shared" si="5"/>
        <v>15555.555555555558</v>
      </c>
      <c r="K8" s="12">
        <f t="shared" si="5"/>
        <v>15555.555555555558</v>
      </c>
      <c r="L8" s="12">
        <f t="shared" si="5"/>
        <v>15555.555555555558</v>
      </c>
      <c r="M8" s="12">
        <f t="shared" si="5"/>
        <v>15555.555555555558</v>
      </c>
      <c r="N8" s="9">
        <f t="shared" si="3"/>
        <v>186666.66666666672</v>
      </c>
      <c r="O8" s="1" t="s">
        <v>88</v>
      </c>
      <c r="P8" s="15">
        <f>S8*T8</f>
        <v>700</v>
      </c>
      <c r="Q8" s="36">
        <f>(Q17/(1-R8))</f>
        <v>5.5555555555555562</v>
      </c>
      <c r="R8" s="37">
        <v>0.55000000000000004</v>
      </c>
      <c r="S8" s="38">
        <v>7</v>
      </c>
      <c r="T8" s="39">
        <v>100</v>
      </c>
    </row>
    <row r="9" spans="1:20" x14ac:dyDescent="0.3">
      <c r="A9" s="1" t="s">
        <v>93</v>
      </c>
      <c r="B9" s="12">
        <f t="shared" ref="B9:D9" si="6">($P$9*$Q$9*4)</f>
        <v>2240</v>
      </c>
      <c r="C9" s="12">
        <f t="shared" si="6"/>
        <v>2240</v>
      </c>
      <c r="D9" s="12">
        <f t="shared" si="6"/>
        <v>2240</v>
      </c>
      <c r="E9" s="12">
        <f t="shared" ref="E9:M9" si="7">($P$9*$Q$9*4)</f>
        <v>2240</v>
      </c>
      <c r="F9" s="12">
        <f t="shared" si="7"/>
        <v>2240</v>
      </c>
      <c r="G9" s="12">
        <f t="shared" si="7"/>
        <v>2240</v>
      </c>
      <c r="H9" s="12">
        <f t="shared" si="7"/>
        <v>2240</v>
      </c>
      <c r="I9" s="12">
        <f t="shared" si="7"/>
        <v>2240</v>
      </c>
      <c r="J9" s="12">
        <f t="shared" si="7"/>
        <v>2240</v>
      </c>
      <c r="K9" s="12">
        <f t="shared" si="7"/>
        <v>2240</v>
      </c>
      <c r="L9" s="12">
        <f t="shared" si="7"/>
        <v>2240</v>
      </c>
      <c r="M9" s="12">
        <f t="shared" si="7"/>
        <v>2240</v>
      </c>
      <c r="N9" s="9">
        <f t="shared" si="3"/>
        <v>26880</v>
      </c>
      <c r="O9" s="1" t="s">
        <v>88</v>
      </c>
      <c r="P9" s="15">
        <f>S9*T9</f>
        <v>140</v>
      </c>
      <c r="Q9" s="36">
        <f>(Q18/(1-R9))</f>
        <v>4</v>
      </c>
      <c r="R9" s="37">
        <v>0.75</v>
      </c>
      <c r="S9" s="38">
        <v>7</v>
      </c>
      <c r="T9" s="39">
        <v>20</v>
      </c>
    </row>
    <row r="10" spans="1:20" ht="15" thickBot="1" x14ac:dyDescent="0.35">
      <c r="A10" s="1" t="s">
        <v>86</v>
      </c>
      <c r="B10" s="12">
        <f t="shared" ref="B10:D10" si="8">($P$10*$Q$10*4)</f>
        <v>2519.4961007798447</v>
      </c>
      <c r="C10" s="12">
        <f t="shared" si="8"/>
        <v>2519.4961007798447</v>
      </c>
      <c r="D10" s="12">
        <f t="shared" si="8"/>
        <v>2519.4961007798447</v>
      </c>
      <c r="E10" s="12">
        <f t="shared" ref="E10:M10" si="9">($P$10*$Q$10*4)</f>
        <v>2519.4961007798447</v>
      </c>
      <c r="F10" s="12">
        <f t="shared" si="9"/>
        <v>2519.4961007798447</v>
      </c>
      <c r="G10" s="12">
        <f t="shared" si="9"/>
        <v>2519.4961007798447</v>
      </c>
      <c r="H10" s="12">
        <f t="shared" si="9"/>
        <v>2519.4961007798447</v>
      </c>
      <c r="I10" s="12">
        <f t="shared" si="9"/>
        <v>2519.4961007798447</v>
      </c>
      <c r="J10" s="12">
        <f t="shared" si="9"/>
        <v>2519.4961007798447</v>
      </c>
      <c r="K10" s="12">
        <f t="shared" si="9"/>
        <v>2519.4961007798447</v>
      </c>
      <c r="L10" s="12">
        <f t="shared" si="9"/>
        <v>2519.4961007798447</v>
      </c>
      <c r="M10" s="12">
        <f t="shared" si="9"/>
        <v>2519.4961007798447</v>
      </c>
      <c r="N10" s="9">
        <f t="shared" si="3"/>
        <v>30233.953209358137</v>
      </c>
      <c r="O10" s="1" t="s">
        <v>89</v>
      </c>
      <c r="P10" s="15">
        <f>S10*T10</f>
        <v>210</v>
      </c>
      <c r="Q10" s="36">
        <f>(Q19/(1-R10))</f>
        <v>2.9994001199760056</v>
      </c>
      <c r="R10" s="40">
        <v>0.83330000000000004</v>
      </c>
      <c r="S10" s="41">
        <v>7</v>
      </c>
      <c r="T10" s="42">
        <v>30</v>
      </c>
    </row>
    <row r="11" spans="1:20" x14ac:dyDescent="0.3">
      <c r="A11" s="24" t="s">
        <v>5</v>
      </c>
      <c r="B11" s="25">
        <f t="shared" ref="B11:D11" si="10">SUM(B7:B10)</f>
        <v>24155.051656335403</v>
      </c>
      <c r="C11" s="25">
        <f t="shared" si="10"/>
        <v>24155.051656335403</v>
      </c>
      <c r="D11" s="25">
        <f t="shared" si="10"/>
        <v>24155.051656335403</v>
      </c>
      <c r="E11" s="25">
        <f t="shared" ref="E11:M11" si="11">SUM(E7:E10)</f>
        <v>24155.051656335403</v>
      </c>
      <c r="F11" s="25">
        <f t="shared" si="11"/>
        <v>24155.051656335403</v>
      </c>
      <c r="G11" s="25">
        <f t="shared" si="11"/>
        <v>24155.051656335403</v>
      </c>
      <c r="H11" s="25">
        <f t="shared" si="11"/>
        <v>24155.051656335403</v>
      </c>
      <c r="I11" s="25">
        <f t="shared" si="11"/>
        <v>24155.051656335403</v>
      </c>
      <c r="J11" s="25">
        <f t="shared" si="11"/>
        <v>24155.051656335403</v>
      </c>
      <c r="K11" s="25">
        <f t="shared" si="11"/>
        <v>24155.051656335403</v>
      </c>
      <c r="L11" s="25">
        <f t="shared" si="11"/>
        <v>24155.051656335403</v>
      </c>
      <c r="M11" s="25">
        <f t="shared" si="11"/>
        <v>24155.051656335403</v>
      </c>
      <c r="N11" s="25">
        <f>SUM(N7:N10)</f>
        <v>289860.61987602484</v>
      </c>
      <c r="O11" s="24" t="s">
        <v>74</v>
      </c>
    </row>
    <row r="12" spans="1:20" ht="13.8" customHeight="1" x14ac:dyDescent="0.3">
      <c r="A12" s="1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9"/>
      <c r="O12" s="1"/>
    </row>
    <row r="13" spans="1:20" ht="13.8" customHeight="1" x14ac:dyDescent="0.3">
      <c r="A13" s="22" t="s">
        <v>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20"/>
      <c r="O13" s="21"/>
    </row>
    <row r="14" spans="1:20" ht="13.8" customHeight="1" x14ac:dyDescent="0.3">
      <c r="A14" s="48" t="s">
        <v>7</v>
      </c>
      <c r="B14" s="49"/>
      <c r="C14" s="49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</row>
    <row r="15" spans="1:20" ht="13.8" customHeight="1" x14ac:dyDescent="0.3">
      <c r="A15" s="5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P15" t="s">
        <v>46</v>
      </c>
      <c r="Q15" t="s">
        <v>48</v>
      </c>
    </row>
    <row r="16" spans="1:20" x14ac:dyDescent="0.3">
      <c r="A16" s="1" t="s">
        <v>8</v>
      </c>
      <c r="B16" s="12">
        <f t="shared" ref="B16:M16" si="12">($P$16*$Q$16)*4</f>
        <v>1920</v>
      </c>
      <c r="C16" s="12">
        <f t="shared" si="12"/>
        <v>1920</v>
      </c>
      <c r="D16" s="12">
        <f t="shared" si="12"/>
        <v>1920</v>
      </c>
      <c r="E16" s="12">
        <f t="shared" si="12"/>
        <v>1920</v>
      </c>
      <c r="F16" s="12">
        <f t="shared" si="12"/>
        <v>1920</v>
      </c>
      <c r="G16" s="12">
        <f t="shared" si="12"/>
        <v>1920</v>
      </c>
      <c r="H16" s="12">
        <f t="shared" si="12"/>
        <v>1920</v>
      </c>
      <c r="I16" s="12">
        <f t="shared" si="12"/>
        <v>1920</v>
      </c>
      <c r="J16" s="12">
        <f t="shared" si="12"/>
        <v>1920</v>
      </c>
      <c r="K16" s="12">
        <f t="shared" si="12"/>
        <v>1920</v>
      </c>
      <c r="L16" s="12">
        <f t="shared" si="12"/>
        <v>1920</v>
      </c>
      <c r="M16" s="12">
        <f t="shared" si="12"/>
        <v>1920</v>
      </c>
      <c r="N16" s="9">
        <f t="shared" si="3"/>
        <v>23040</v>
      </c>
      <c r="O16" s="1" t="s">
        <v>95</v>
      </c>
      <c r="P16" s="15">
        <f>P7</f>
        <v>60</v>
      </c>
      <c r="Q16" s="43">
        <v>8</v>
      </c>
    </row>
    <row r="17" spans="1:18" x14ac:dyDescent="0.3">
      <c r="A17" s="1" t="s">
        <v>45</v>
      </c>
      <c r="B17" s="12">
        <f t="shared" ref="B17:M17" si="13">($P$17*$Q$17)*4</f>
        <v>7000</v>
      </c>
      <c r="C17" s="12">
        <f t="shared" si="13"/>
        <v>7000</v>
      </c>
      <c r="D17" s="12">
        <f t="shared" si="13"/>
        <v>7000</v>
      </c>
      <c r="E17" s="12">
        <f t="shared" si="13"/>
        <v>7000</v>
      </c>
      <c r="F17" s="12">
        <f t="shared" si="13"/>
        <v>7000</v>
      </c>
      <c r="G17" s="12">
        <f t="shared" si="13"/>
        <v>7000</v>
      </c>
      <c r="H17" s="12">
        <f t="shared" si="13"/>
        <v>7000</v>
      </c>
      <c r="I17" s="12">
        <f t="shared" si="13"/>
        <v>7000</v>
      </c>
      <c r="J17" s="12">
        <f t="shared" si="13"/>
        <v>7000</v>
      </c>
      <c r="K17" s="12">
        <f t="shared" si="13"/>
        <v>7000</v>
      </c>
      <c r="L17" s="12">
        <f t="shared" si="13"/>
        <v>7000</v>
      </c>
      <c r="M17" s="12">
        <f t="shared" si="13"/>
        <v>7000</v>
      </c>
      <c r="N17" s="9">
        <f t="shared" si="3"/>
        <v>84000</v>
      </c>
      <c r="O17" s="1" t="s">
        <v>96</v>
      </c>
      <c r="P17" s="15">
        <f>P8</f>
        <v>700</v>
      </c>
      <c r="Q17" s="43">
        <v>2.5</v>
      </c>
    </row>
    <row r="18" spans="1:18" x14ac:dyDescent="0.3">
      <c r="A18" s="1" t="s">
        <v>94</v>
      </c>
      <c r="B18" s="12">
        <f t="shared" ref="B18:M18" si="14">($P$18*$Q$18)*4</f>
        <v>560</v>
      </c>
      <c r="C18" s="12">
        <f t="shared" si="14"/>
        <v>560</v>
      </c>
      <c r="D18" s="12">
        <f t="shared" si="14"/>
        <v>560</v>
      </c>
      <c r="E18" s="12">
        <f t="shared" si="14"/>
        <v>560</v>
      </c>
      <c r="F18" s="12">
        <f t="shared" si="14"/>
        <v>560</v>
      </c>
      <c r="G18" s="12">
        <f t="shared" si="14"/>
        <v>560</v>
      </c>
      <c r="H18" s="12">
        <f t="shared" si="14"/>
        <v>560</v>
      </c>
      <c r="I18" s="12">
        <f t="shared" si="14"/>
        <v>560</v>
      </c>
      <c r="J18" s="12">
        <f t="shared" si="14"/>
        <v>560</v>
      </c>
      <c r="K18" s="12">
        <f t="shared" si="14"/>
        <v>560</v>
      </c>
      <c r="L18" s="12">
        <f t="shared" si="14"/>
        <v>560</v>
      </c>
      <c r="M18" s="12">
        <f t="shared" si="14"/>
        <v>560</v>
      </c>
      <c r="N18" s="9">
        <f t="shared" si="3"/>
        <v>6720</v>
      </c>
      <c r="O18" s="1" t="s">
        <v>97</v>
      </c>
      <c r="P18" s="15">
        <f>P9</f>
        <v>140</v>
      </c>
      <c r="Q18" s="43">
        <v>1</v>
      </c>
    </row>
    <row r="19" spans="1:18" x14ac:dyDescent="0.3">
      <c r="A19" s="1" t="s">
        <v>87</v>
      </c>
      <c r="B19" s="12">
        <f t="shared" ref="B19:M19" si="15">($P$19*$Q$19)*4</f>
        <v>420</v>
      </c>
      <c r="C19" s="12">
        <f t="shared" si="15"/>
        <v>420</v>
      </c>
      <c r="D19" s="12">
        <f t="shared" si="15"/>
        <v>420</v>
      </c>
      <c r="E19" s="12">
        <f t="shared" si="15"/>
        <v>420</v>
      </c>
      <c r="F19" s="12">
        <f t="shared" si="15"/>
        <v>420</v>
      </c>
      <c r="G19" s="12">
        <f t="shared" si="15"/>
        <v>420</v>
      </c>
      <c r="H19" s="12">
        <f t="shared" si="15"/>
        <v>420</v>
      </c>
      <c r="I19" s="12">
        <f t="shared" si="15"/>
        <v>420</v>
      </c>
      <c r="J19" s="12">
        <f t="shared" si="15"/>
        <v>420</v>
      </c>
      <c r="K19" s="12">
        <f t="shared" si="15"/>
        <v>420</v>
      </c>
      <c r="L19" s="12">
        <f t="shared" si="15"/>
        <v>420</v>
      </c>
      <c r="M19" s="12">
        <f t="shared" si="15"/>
        <v>420</v>
      </c>
      <c r="N19" s="9">
        <f t="shared" si="3"/>
        <v>5040</v>
      </c>
      <c r="O19" s="1" t="s">
        <v>92</v>
      </c>
      <c r="P19" s="15">
        <f>P10</f>
        <v>210</v>
      </c>
      <c r="Q19" s="43">
        <v>0.5</v>
      </c>
    </row>
    <row r="20" spans="1:18" x14ac:dyDescent="0.3">
      <c r="A20" s="48" t="s">
        <v>102</v>
      </c>
      <c r="B20" s="50">
        <f t="shared" ref="B20:C20" si="16">SUM(B16:B19)</f>
        <v>9900</v>
      </c>
      <c r="C20" s="50">
        <f t="shared" si="16"/>
        <v>9900</v>
      </c>
      <c r="D20" s="50">
        <f t="shared" ref="D20:M20" si="17">SUM(D16:D19)</f>
        <v>9900</v>
      </c>
      <c r="E20" s="50">
        <f t="shared" si="17"/>
        <v>9900</v>
      </c>
      <c r="F20" s="50">
        <f t="shared" si="17"/>
        <v>9900</v>
      </c>
      <c r="G20" s="50">
        <f t="shared" si="17"/>
        <v>9900</v>
      </c>
      <c r="H20" s="50">
        <f t="shared" si="17"/>
        <v>9900</v>
      </c>
      <c r="I20" s="50">
        <f t="shared" si="17"/>
        <v>9900</v>
      </c>
      <c r="J20" s="50">
        <f t="shared" si="17"/>
        <v>9900</v>
      </c>
      <c r="K20" s="50">
        <f t="shared" si="17"/>
        <v>9900</v>
      </c>
      <c r="L20" s="50">
        <f t="shared" si="17"/>
        <v>9900</v>
      </c>
      <c r="M20" s="50">
        <f t="shared" si="17"/>
        <v>9900</v>
      </c>
      <c r="N20" s="50">
        <f>SUM(N16:N19)</f>
        <v>118800</v>
      </c>
      <c r="O20" s="48" t="s">
        <v>75</v>
      </c>
      <c r="R20" s="7"/>
    </row>
    <row r="21" spans="1:18" x14ac:dyDescent="0.3">
      <c r="R21" s="7"/>
    </row>
    <row r="22" spans="1:18" x14ac:dyDescent="0.3">
      <c r="A22" s="24" t="s">
        <v>72</v>
      </c>
      <c r="B22" s="26">
        <f t="shared" ref="B22:N22" si="18">B11-B20</f>
        <v>14255.051656335403</v>
      </c>
      <c r="C22" s="26">
        <f t="shared" si="18"/>
        <v>14255.051656335403</v>
      </c>
      <c r="D22" s="26">
        <f t="shared" si="18"/>
        <v>14255.051656335403</v>
      </c>
      <c r="E22" s="26">
        <f t="shared" si="18"/>
        <v>14255.051656335403</v>
      </c>
      <c r="F22" s="26">
        <f t="shared" si="18"/>
        <v>14255.051656335403</v>
      </c>
      <c r="G22" s="26">
        <f t="shared" si="18"/>
        <v>14255.051656335403</v>
      </c>
      <c r="H22" s="26">
        <f t="shared" si="18"/>
        <v>14255.051656335403</v>
      </c>
      <c r="I22" s="26">
        <f t="shared" si="18"/>
        <v>14255.051656335403</v>
      </c>
      <c r="J22" s="26">
        <f t="shared" si="18"/>
        <v>14255.051656335403</v>
      </c>
      <c r="K22" s="26">
        <f t="shared" si="18"/>
        <v>14255.051656335403</v>
      </c>
      <c r="L22" s="26">
        <f t="shared" si="18"/>
        <v>14255.051656335403</v>
      </c>
      <c r="M22" s="26">
        <f t="shared" si="18"/>
        <v>14255.051656335403</v>
      </c>
      <c r="N22" s="26">
        <f t="shared" si="18"/>
        <v>171060.61987602484</v>
      </c>
      <c r="O22" s="24" t="s">
        <v>63</v>
      </c>
      <c r="R22" s="7"/>
    </row>
    <row r="23" spans="1:18" ht="13.8" customHeight="1" x14ac:dyDescent="0.3">
      <c r="A23" s="23"/>
    </row>
    <row r="24" spans="1:18" x14ac:dyDescent="0.3">
      <c r="A24" s="48" t="s">
        <v>9</v>
      </c>
      <c r="B24" s="49">
        <f t="shared" ref="B24:C24" si="19">40000/12*1.5</f>
        <v>5000</v>
      </c>
      <c r="C24" s="49">
        <f t="shared" si="19"/>
        <v>5000</v>
      </c>
      <c r="D24" s="49">
        <f>40000/12*1.5</f>
        <v>5000</v>
      </c>
      <c r="E24" s="49">
        <f>40000/12*1.5</f>
        <v>5000</v>
      </c>
      <c r="F24" s="49">
        <f t="shared" ref="F24:M24" si="20">40000/12*1.5</f>
        <v>5000</v>
      </c>
      <c r="G24" s="49">
        <f t="shared" si="20"/>
        <v>5000</v>
      </c>
      <c r="H24" s="49">
        <f t="shared" si="20"/>
        <v>5000</v>
      </c>
      <c r="I24" s="49">
        <f t="shared" si="20"/>
        <v>5000</v>
      </c>
      <c r="J24" s="49">
        <f t="shared" si="20"/>
        <v>5000</v>
      </c>
      <c r="K24" s="49">
        <f t="shared" si="20"/>
        <v>5000</v>
      </c>
      <c r="L24" s="49">
        <f t="shared" si="20"/>
        <v>5000</v>
      </c>
      <c r="M24" s="49">
        <f t="shared" si="20"/>
        <v>5000</v>
      </c>
      <c r="N24" s="50">
        <f>SUM(B24:M24)</f>
        <v>60000</v>
      </c>
      <c r="O24" s="48" t="s">
        <v>76</v>
      </c>
      <c r="P24" t="s">
        <v>113</v>
      </c>
      <c r="Q24" s="7"/>
    </row>
    <row r="26" spans="1:18" x14ac:dyDescent="0.3">
      <c r="A26" s="1" t="s">
        <v>10</v>
      </c>
      <c r="B26" s="44">
        <v>1000</v>
      </c>
      <c r="C26" s="44">
        <v>1000</v>
      </c>
      <c r="D26" s="44">
        <v>1000</v>
      </c>
      <c r="E26" s="44">
        <v>1000</v>
      </c>
      <c r="F26" s="44">
        <v>1000</v>
      </c>
      <c r="G26" s="44">
        <v>1000</v>
      </c>
      <c r="H26" s="44">
        <v>1000</v>
      </c>
      <c r="I26" s="44">
        <v>1000</v>
      </c>
      <c r="J26" s="44">
        <v>1000</v>
      </c>
      <c r="K26" s="44">
        <v>1000</v>
      </c>
      <c r="L26" s="44">
        <v>1000</v>
      </c>
      <c r="M26" s="44">
        <v>1000</v>
      </c>
      <c r="N26" s="9">
        <f t="shared" si="3"/>
        <v>12000</v>
      </c>
      <c r="O26" s="1" t="s">
        <v>32</v>
      </c>
    </row>
    <row r="27" spans="1:18" x14ac:dyDescent="0.3">
      <c r="A27" s="1" t="s">
        <v>11</v>
      </c>
      <c r="B27" s="44">
        <v>20</v>
      </c>
      <c r="C27" s="44">
        <v>20</v>
      </c>
      <c r="D27" s="44">
        <v>20</v>
      </c>
      <c r="E27" s="44">
        <v>20</v>
      </c>
      <c r="F27" s="44">
        <v>20</v>
      </c>
      <c r="G27" s="44">
        <v>20</v>
      </c>
      <c r="H27" s="44">
        <v>20</v>
      </c>
      <c r="I27" s="44">
        <v>20</v>
      </c>
      <c r="J27" s="44">
        <v>20</v>
      </c>
      <c r="K27" s="44">
        <v>20</v>
      </c>
      <c r="L27" s="44">
        <v>20</v>
      </c>
      <c r="M27" s="44">
        <v>20</v>
      </c>
      <c r="N27" s="9">
        <f t="shared" si="3"/>
        <v>240</v>
      </c>
      <c r="O27" s="1" t="s">
        <v>30</v>
      </c>
    </row>
    <row r="28" spans="1:18" x14ac:dyDescent="0.3">
      <c r="A28" s="1" t="s">
        <v>12</v>
      </c>
      <c r="B28" s="44">
        <v>20</v>
      </c>
      <c r="C28" s="44">
        <v>20</v>
      </c>
      <c r="D28" s="44">
        <v>20</v>
      </c>
      <c r="E28" s="44">
        <v>20</v>
      </c>
      <c r="F28" s="44">
        <v>20</v>
      </c>
      <c r="G28" s="44">
        <v>20</v>
      </c>
      <c r="H28" s="44">
        <v>20</v>
      </c>
      <c r="I28" s="44">
        <v>20</v>
      </c>
      <c r="J28" s="44">
        <v>20</v>
      </c>
      <c r="K28" s="44">
        <v>20</v>
      </c>
      <c r="L28" s="44">
        <v>20</v>
      </c>
      <c r="M28" s="44">
        <v>20</v>
      </c>
      <c r="N28" s="9">
        <f t="shared" si="3"/>
        <v>240</v>
      </c>
      <c r="O28" s="1" t="s">
        <v>31</v>
      </c>
    </row>
    <row r="29" spans="1:18" x14ac:dyDescent="0.3">
      <c r="A29" s="1" t="s">
        <v>13</v>
      </c>
      <c r="B29" s="44">
        <v>40</v>
      </c>
      <c r="C29" s="44">
        <v>40</v>
      </c>
      <c r="D29" s="44">
        <v>40</v>
      </c>
      <c r="E29" s="44">
        <v>40</v>
      </c>
      <c r="F29" s="44">
        <v>40</v>
      </c>
      <c r="G29" s="44">
        <v>40</v>
      </c>
      <c r="H29" s="44">
        <v>40</v>
      </c>
      <c r="I29" s="44">
        <v>40</v>
      </c>
      <c r="J29" s="44">
        <v>40</v>
      </c>
      <c r="K29" s="44">
        <v>40</v>
      </c>
      <c r="L29" s="44">
        <v>40</v>
      </c>
      <c r="M29" s="44">
        <v>40</v>
      </c>
      <c r="N29" s="9">
        <f t="shared" si="3"/>
        <v>480</v>
      </c>
      <c r="O29" s="1" t="s">
        <v>33</v>
      </c>
    </row>
    <row r="30" spans="1:18" x14ac:dyDescent="0.3">
      <c r="A30" s="1" t="s">
        <v>14</v>
      </c>
      <c r="B30" s="44">
        <v>100</v>
      </c>
      <c r="C30" s="44">
        <v>100</v>
      </c>
      <c r="D30" s="44">
        <v>100</v>
      </c>
      <c r="E30" s="44">
        <v>100</v>
      </c>
      <c r="F30" s="44">
        <v>100</v>
      </c>
      <c r="G30" s="44">
        <v>100</v>
      </c>
      <c r="H30" s="44">
        <v>100</v>
      </c>
      <c r="I30" s="44">
        <v>100</v>
      </c>
      <c r="J30" s="44">
        <v>100</v>
      </c>
      <c r="K30" s="44">
        <v>100</v>
      </c>
      <c r="L30" s="44">
        <v>100</v>
      </c>
      <c r="M30" s="44">
        <v>100</v>
      </c>
      <c r="N30" s="9">
        <f t="shared" si="3"/>
        <v>1200</v>
      </c>
      <c r="O30" s="1" t="s">
        <v>39</v>
      </c>
    </row>
    <row r="31" spans="1:18" x14ac:dyDescent="0.3">
      <c r="A31" s="1" t="s">
        <v>15</v>
      </c>
      <c r="B31" s="44">
        <v>100</v>
      </c>
      <c r="C31" s="44">
        <v>100</v>
      </c>
      <c r="D31" s="44">
        <v>100</v>
      </c>
      <c r="E31" s="44">
        <v>100</v>
      </c>
      <c r="F31" s="44">
        <v>100</v>
      </c>
      <c r="G31" s="44">
        <v>100</v>
      </c>
      <c r="H31" s="44">
        <v>100</v>
      </c>
      <c r="I31" s="44">
        <v>100</v>
      </c>
      <c r="J31" s="44">
        <v>100</v>
      </c>
      <c r="K31" s="44">
        <v>100</v>
      </c>
      <c r="L31" s="44">
        <v>100</v>
      </c>
      <c r="M31" s="44">
        <v>100</v>
      </c>
      <c r="N31" s="9">
        <f t="shared" si="3"/>
        <v>1200</v>
      </c>
      <c r="O31" s="1" t="s">
        <v>34</v>
      </c>
    </row>
    <row r="32" spans="1:18" x14ac:dyDescent="0.3">
      <c r="A32" s="1" t="s">
        <v>42</v>
      </c>
      <c r="B32" s="44">
        <f t="shared" ref="B32:M32" si="21">4*57</f>
        <v>228</v>
      </c>
      <c r="C32" s="44">
        <f t="shared" si="21"/>
        <v>228</v>
      </c>
      <c r="D32" s="44">
        <f t="shared" si="21"/>
        <v>228</v>
      </c>
      <c r="E32" s="44">
        <f t="shared" si="21"/>
        <v>228</v>
      </c>
      <c r="F32" s="44">
        <f t="shared" si="21"/>
        <v>228</v>
      </c>
      <c r="G32" s="44">
        <f t="shared" si="21"/>
        <v>228</v>
      </c>
      <c r="H32" s="44">
        <f t="shared" si="21"/>
        <v>228</v>
      </c>
      <c r="I32" s="44">
        <f t="shared" si="21"/>
        <v>228</v>
      </c>
      <c r="J32" s="44">
        <f t="shared" si="21"/>
        <v>228</v>
      </c>
      <c r="K32" s="44">
        <f t="shared" si="21"/>
        <v>228</v>
      </c>
      <c r="L32" s="44">
        <f t="shared" si="21"/>
        <v>228</v>
      </c>
      <c r="M32" s="44">
        <f t="shared" si="21"/>
        <v>228</v>
      </c>
      <c r="N32" s="9">
        <f t="shared" si="3"/>
        <v>2736</v>
      </c>
      <c r="O32" s="1" t="s">
        <v>84</v>
      </c>
    </row>
    <row r="33" spans="1:18" x14ac:dyDescent="0.3">
      <c r="A33" s="1" t="s">
        <v>16</v>
      </c>
      <c r="B33" s="44">
        <v>210</v>
      </c>
      <c r="C33" s="44">
        <v>210</v>
      </c>
      <c r="D33" s="44">
        <v>210</v>
      </c>
      <c r="E33" s="44">
        <v>210</v>
      </c>
      <c r="F33" s="44">
        <v>210</v>
      </c>
      <c r="G33" s="44">
        <v>210</v>
      </c>
      <c r="H33" s="44">
        <v>210</v>
      </c>
      <c r="I33" s="44">
        <v>210</v>
      </c>
      <c r="J33" s="44">
        <v>210</v>
      </c>
      <c r="K33" s="44">
        <v>210</v>
      </c>
      <c r="L33" s="44">
        <v>210</v>
      </c>
      <c r="M33" s="44">
        <v>210</v>
      </c>
      <c r="N33" s="9">
        <f t="shared" si="3"/>
        <v>2520</v>
      </c>
      <c r="O33" s="1" t="s">
        <v>35</v>
      </c>
    </row>
    <row r="34" spans="1:18" x14ac:dyDescent="0.3">
      <c r="A34" s="1" t="s">
        <v>17</v>
      </c>
      <c r="B34" s="44">
        <v>100</v>
      </c>
      <c r="C34" s="44">
        <v>100</v>
      </c>
      <c r="D34" s="44">
        <v>100</v>
      </c>
      <c r="E34" s="44">
        <v>100</v>
      </c>
      <c r="F34" s="44">
        <v>100</v>
      </c>
      <c r="G34" s="44">
        <v>100</v>
      </c>
      <c r="H34" s="44">
        <v>100</v>
      </c>
      <c r="I34" s="44">
        <v>100</v>
      </c>
      <c r="J34" s="44">
        <v>100</v>
      </c>
      <c r="K34" s="44">
        <v>100</v>
      </c>
      <c r="L34" s="44">
        <v>100</v>
      </c>
      <c r="M34" s="44">
        <v>100</v>
      </c>
      <c r="N34" s="9">
        <f t="shared" si="3"/>
        <v>1200</v>
      </c>
      <c r="O34" s="1" t="s">
        <v>41</v>
      </c>
    </row>
    <row r="35" spans="1:18" x14ac:dyDescent="0.3">
      <c r="A35" s="1" t="s">
        <v>18</v>
      </c>
      <c r="B35" s="44">
        <v>200</v>
      </c>
      <c r="C35" s="44">
        <v>200</v>
      </c>
      <c r="D35" s="44">
        <v>200</v>
      </c>
      <c r="E35" s="44">
        <v>200</v>
      </c>
      <c r="F35" s="44">
        <v>200</v>
      </c>
      <c r="G35" s="44">
        <v>200</v>
      </c>
      <c r="H35" s="44">
        <v>200</v>
      </c>
      <c r="I35" s="44">
        <v>200</v>
      </c>
      <c r="J35" s="44">
        <v>200</v>
      </c>
      <c r="K35" s="44">
        <v>200</v>
      </c>
      <c r="L35" s="44">
        <v>200</v>
      </c>
      <c r="M35" s="44">
        <v>200</v>
      </c>
      <c r="N35" s="9">
        <f t="shared" si="3"/>
        <v>2400</v>
      </c>
      <c r="O35" s="1" t="s">
        <v>36</v>
      </c>
    </row>
    <row r="36" spans="1:18" x14ac:dyDescent="0.3">
      <c r="A36" s="1" t="s">
        <v>19</v>
      </c>
      <c r="B36" s="44">
        <v>50</v>
      </c>
      <c r="C36" s="44">
        <v>50</v>
      </c>
      <c r="D36" s="44">
        <v>50</v>
      </c>
      <c r="E36" s="44">
        <v>50</v>
      </c>
      <c r="F36" s="44">
        <v>50</v>
      </c>
      <c r="G36" s="44">
        <v>50</v>
      </c>
      <c r="H36" s="44">
        <v>50</v>
      </c>
      <c r="I36" s="44">
        <v>50</v>
      </c>
      <c r="J36" s="44">
        <v>50</v>
      </c>
      <c r="K36" s="44">
        <v>50</v>
      </c>
      <c r="L36" s="44">
        <v>50</v>
      </c>
      <c r="M36" s="44">
        <v>50</v>
      </c>
      <c r="N36" s="9">
        <f t="shared" si="3"/>
        <v>600</v>
      </c>
      <c r="O36" s="1" t="s">
        <v>43</v>
      </c>
    </row>
    <row r="37" spans="1:18" x14ac:dyDescent="0.3">
      <c r="A37" s="1" t="s">
        <v>20</v>
      </c>
      <c r="B37" s="44">
        <v>400</v>
      </c>
      <c r="C37" s="44">
        <v>400</v>
      </c>
      <c r="D37" s="44">
        <v>400</v>
      </c>
      <c r="E37" s="44">
        <v>400</v>
      </c>
      <c r="F37" s="44">
        <v>400</v>
      </c>
      <c r="G37" s="44">
        <v>400</v>
      </c>
      <c r="H37" s="44">
        <v>400</v>
      </c>
      <c r="I37" s="44">
        <v>400</v>
      </c>
      <c r="J37" s="44">
        <v>400</v>
      </c>
      <c r="K37" s="44">
        <v>400</v>
      </c>
      <c r="L37" s="44">
        <v>400</v>
      </c>
      <c r="M37" s="44">
        <v>400</v>
      </c>
      <c r="N37" s="9">
        <f t="shared" si="3"/>
        <v>4800</v>
      </c>
      <c r="O37" s="1" t="s">
        <v>37</v>
      </c>
    </row>
    <row r="38" spans="1:18" x14ac:dyDescent="0.3">
      <c r="A38" s="1" t="s">
        <v>29</v>
      </c>
      <c r="B38" s="44">
        <v>100</v>
      </c>
      <c r="C38" s="44">
        <v>100</v>
      </c>
      <c r="D38" s="44">
        <v>100</v>
      </c>
      <c r="E38" s="44">
        <v>100</v>
      </c>
      <c r="F38" s="44">
        <v>100</v>
      </c>
      <c r="G38" s="44">
        <v>100</v>
      </c>
      <c r="H38" s="44">
        <v>100</v>
      </c>
      <c r="I38" s="44">
        <v>100</v>
      </c>
      <c r="J38" s="44">
        <v>100</v>
      </c>
      <c r="K38" s="44">
        <v>100</v>
      </c>
      <c r="L38" s="44">
        <v>100</v>
      </c>
      <c r="M38" s="44">
        <v>100</v>
      </c>
      <c r="N38" s="9">
        <f t="shared" si="3"/>
        <v>1200</v>
      </c>
      <c r="O38" s="1" t="s">
        <v>40</v>
      </c>
    </row>
    <row r="39" spans="1:18" x14ac:dyDescent="0.3">
      <c r="A39" s="1" t="s">
        <v>21</v>
      </c>
      <c r="B39" s="44">
        <v>125</v>
      </c>
      <c r="C39" s="44">
        <v>125</v>
      </c>
      <c r="D39" s="44">
        <v>125</v>
      </c>
      <c r="E39" s="44">
        <v>125</v>
      </c>
      <c r="F39" s="44">
        <v>125</v>
      </c>
      <c r="G39" s="44">
        <v>125</v>
      </c>
      <c r="H39" s="44">
        <v>125</v>
      </c>
      <c r="I39" s="44">
        <v>125</v>
      </c>
      <c r="J39" s="44">
        <v>125</v>
      </c>
      <c r="K39" s="44">
        <v>125</v>
      </c>
      <c r="L39" s="44">
        <v>125</v>
      </c>
      <c r="M39" s="44">
        <v>125</v>
      </c>
      <c r="N39" s="9">
        <f t="shared" si="3"/>
        <v>1500</v>
      </c>
      <c r="O39" s="1" t="s">
        <v>38</v>
      </c>
    </row>
    <row r="40" spans="1:18" x14ac:dyDescent="0.3">
      <c r="A40" s="1" t="s">
        <v>22</v>
      </c>
      <c r="B40" s="44">
        <v>200</v>
      </c>
      <c r="C40" s="44">
        <v>200</v>
      </c>
      <c r="D40" s="44">
        <v>200</v>
      </c>
      <c r="E40" s="44">
        <v>200</v>
      </c>
      <c r="F40" s="44">
        <v>200</v>
      </c>
      <c r="G40" s="44">
        <v>200</v>
      </c>
      <c r="H40" s="44">
        <v>200</v>
      </c>
      <c r="I40" s="44">
        <v>200</v>
      </c>
      <c r="J40" s="44">
        <v>200</v>
      </c>
      <c r="K40" s="44">
        <v>200</v>
      </c>
      <c r="L40" s="44">
        <v>200</v>
      </c>
      <c r="M40" s="44">
        <v>200</v>
      </c>
      <c r="N40" s="9">
        <f t="shared" si="3"/>
        <v>2400</v>
      </c>
      <c r="O40" s="1" t="s">
        <v>73</v>
      </c>
    </row>
    <row r="41" spans="1:18" x14ac:dyDescent="0.3">
      <c r="A41" s="1" t="s">
        <v>44</v>
      </c>
      <c r="B41" s="44">
        <f t="shared" ref="B41:M41" si="22">(180+190)/12</f>
        <v>30.833333333333332</v>
      </c>
      <c r="C41" s="44">
        <f t="shared" si="22"/>
        <v>30.833333333333332</v>
      </c>
      <c r="D41" s="44">
        <f t="shared" si="22"/>
        <v>30.833333333333332</v>
      </c>
      <c r="E41" s="44">
        <f t="shared" si="22"/>
        <v>30.833333333333332</v>
      </c>
      <c r="F41" s="44">
        <f t="shared" si="22"/>
        <v>30.833333333333332</v>
      </c>
      <c r="G41" s="44">
        <f t="shared" si="22"/>
        <v>30.833333333333332</v>
      </c>
      <c r="H41" s="44">
        <f t="shared" si="22"/>
        <v>30.833333333333332</v>
      </c>
      <c r="I41" s="44">
        <f t="shared" si="22"/>
        <v>30.833333333333332</v>
      </c>
      <c r="J41" s="44">
        <f t="shared" si="22"/>
        <v>30.833333333333332</v>
      </c>
      <c r="K41" s="44">
        <f t="shared" si="22"/>
        <v>30.833333333333332</v>
      </c>
      <c r="L41" s="44">
        <f t="shared" si="22"/>
        <v>30.833333333333332</v>
      </c>
      <c r="M41" s="44">
        <f t="shared" si="22"/>
        <v>30.833333333333332</v>
      </c>
      <c r="N41" s="9">
        <f t="shared" si="3"/>
        <v>369.99999999999994</v>
      </c>
      <c r="O41" s="1" t="s">
        <v>85</v>
      </c>
    </row>
    <row r="42" spans="1:18" x14ac:dyDescent="0.3">
      <c r="A42" s="1" t="s">
        <v>23</v>
      </c>
      <c r="B42" s="44">
        <v>998</v>
      </c>
      <c r="C42" s="44">
        <v>999</v>
      </c>
      <c r="D42" s="44">
        <v>1000</v>
      </c>
      <c r="E42" s="44">
        <v>1000</v>
      </c>
      <c r="F42" s="44">
        <v>1000</v>
      </c>
      <c r="G42" s="44">
        <v>1000</v>
      </c>
      <c r="H42" s="44">
        <v>1000</v>
      </c>
      <c r="I42" s="44">
        <v>1000</v>
      </c>
      <c r="J42" s="44">
        <v>1000</v>
      </c>
      <c r="K42" s="44">
        <v>1000</v>
      </c>
      <c r="L42" s="44">
        <v>1000</v>
      </c>
      <c r="M42" s="44">
        <v>1000</v>
      </c>
      <c r="N42" s="9">
        <f t="shared" si="3"/>
        <v>11997</v>
      </c>
      <c r="O42" s="1" t="s">
        <v>159</v>
      </c>
      <c r="P42" s="91" t="s">
        <v>163</v>
      </c>
      <c r="Q42" s="91"/>
      <c r="R42" s="92"/>
    </row>
    <row r="43" spans="1:18" x14ac:dyDescent="0.3">
      <c r="A43" s="48" t="s">
        <v>78</v>
      </c>
      <c r="B43" s="49">
        <f t="shared" ref="B43:M43" si="23">SUM(B26:B42)</f>
        <v>3921.8333333333335</v>
      </c>
      <c r="C43" s="49">
        <f t="shared" si="23"/>
        <v>3922.8333333333335</v>
      </c>
      <c r="D43" s="49">
        <f t="shared" si="23"/>
        <v>3923.8333333333335</v>
      </c>
      <c r="E43" s="49">
        <f t="shared" si="23"/>
        <v>3923.8333333333335</v>
      </c>
      <c r="F43" s="49">
        <f t="shared" si="23"/>
        <v>3923.8333333333335</v>
      </c>
      <c r="G43" s="49">
        <f t="shared" si="23"/>
        <v>3923.8333333333335</v>
      </c>
      <c r="H43" s="49">
        <f t="shared" si="23"/>
        <v>3923.8333333333335</v>
      </c>
      <c r="I43" s="49">
        <f t="shared" si="23"/>
        <v>3923.8333333333335</v>
      </c>
      <c r="J43" s="49">
        <f t="shared" si="23"/>
        <v>3923.8333333333335</v>
      </c>
      <c r="K43" s="49">
        <f t="shared" si="23"/>
        <v>3923.8333333333335</v>
      </c>
      <c r="L43" s="49">
        <f t="shared" si="23"/>
        <v>3923.8333333333335</v>
      </c>
      <c r="M43" s="49">
        <f t="shared" si="23"/>
        <v>3923.8333333333335</v>
      </c>
      <c r="N43" s="49">
        <f>SUM(N26:N42)</f>
        <v>47083</v>
      </c>
      <c r="O43" s="48" t="s">
        <v>77</v>
      </c>
      <c r="P43" s="13"/>
    </row>
    <row r="44" spans="1:18" x14ac:dyDescent="0.3">
      <c r="A44" s="2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9"/>
      <c r="P44" s="13"/>
    </row>
    <row r="45" spans="1:18" x14ac:dyDescent="0.3">
      <c r="A45" s="48" t="s">
        <v>24</v>
      </c>
      <c r="B45" s="49">
        <f>B43+B24</f>
        <v>8921.8333333333339</v>
      </c>
      <c r="C45" s="49">
        <f t="shared" ref="C45:M45" si="24">C43+C24</f>
        <v>8922.8333333333339</v>
      </c>
      <c r="D45" s="49">
        <f t="shared" si="24"/>
        <v>8923.8333333333339</v>
      </c>
      <c r="E45" s="49">
        <f t="shared" si="24"/>
        <v>8923.8333333333339</v>
      </c>
      <c r="F45" s="49">
        <f t="shared" si="24"/>
        <v>8923.8333333333339</v>
      </c>
      <c r="G45" s="49">
        <f t="shared" si="24"/>
        <v>8923.8333333333339</v>
      </c>
      <c r="H45" s="49">
        <f t="shared" si="24"/>
        <v>8923.8333333333339</v>
      </c>
      <c r="I45" s="49">
        <f t="shared" si="24"/>
        <v>8923.8333333333339</v>
      </c>
      <c r="J45" s="49">
        <f t="shared" si="24"/>
        <v>8923.8333333333339</v>
      </c>
      <c r="K45" s="49">
        <f t="shared" si="24"/>
        <v>8923.8333333333339</v>
      </c>
      <c r="L45" s="49">
        <f t="shared" si="24"/>
        <v>8923.8333333333339</v>
      </c>
      <c r="M45" s="49">
        <f t="shared" si="24"/>
        <v>8923.8333333333339</v>
      </c>
      <c r="N45" s="49">
        <f>N43+N24</f>
        <v>107083</v>
      </c>
      <c r="O45" s="48" t="s">
        <v>79</v>
      </c>
      <c r="P45" s="13"/>
    </row>
    <row r="46" spans="1:18" x14ac:dyDescent="0.3">
      <c r="A46" s="3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3"/>
      <c r="P46" s="13"/>
    </row>
    <row r="47" spans="1:18" x14ac:dyDescent="0.3">
      <c r="A47" s="24" t="s">
        <v>63</v>
      </c>
      <c r="B47" s="25">
        <f>B22-B45</f>
        <v>5333.2183230020692</v>
      </c>
      <c r="C47" s="25">
        <f t="shared" ref="C47:N47" si="25">C22-C45</f>
        <v>5332.2183230020692</v>
      </c>
      <c r="D47" s="25">
        <f t="shared" si="25"/>
        <v>5331.2183230020692</v>
      </c>
      <c r="E47" s="25">
        <f t="shared" si="25"/>
        <v>5331.2183230020692</v>
      </c>
      <c r="F47" s="25">
        <f t="shared" si="25"/>
        <v>5331.2183230020692</v>
      </c>
      <c r="G47" s="25">
        <f t="shared" si="25"/>
        <v>5331.2183230020692</v>
      </c>
      <c r="H47" s="25">
        <f t="shared" si="25"/>
        <v>5331.2183230020692</v>
      </c>
      <c r="I47" s="25">
        <f t="shared" si="25"/>
        <v>5331.2183230020692</v>
      </c>
      <c r="J47" s="25">
        <f t="shared" si="25"/>
        <v>5331.2183230020692</v>
      </c>
      <c r="K47" s="25">
        <f t="shared" si="25"/>
        <v>5331.2183230020692</v>
      </c>
      <c r="L47" s="25">
        <f t="shared" si="25"/>
        <v>5331.2183230020692</v>
      </c>
      <c r="M47" s="25">
        <f t="shared" si="25"/>
        <v>5331.2183230020692</v>
      </c>
      <c r="N47" s="25">
        <f t="shared" si="25"/>
        <v>63977.619876024837</v>
      </c>
      <c r="O47" s="24" t="s">
        <v>80</v>
      </c>
      <c r="P47" s="13"/>
    </row>
    <row r="48" spans="1:18" x14ac:dyDescent="0.3">
      <c r="P48" s="13"/>
    </row>
    <row r="49" spans="1:15" x14ac:dyDescent="0.3">
      <c r="A49" s="1" t="s">
        <v>104</v>
      </c>
      <c r="B49" s="4">
        <f>C5</f>
        <v>5333.2183230020673</v>
      </c>
      <c r="C49" s="4">
        <f>C11-C45</f>
        <v>15232.218323002069</v>
      </c>
      <c r="D49" s="4">
        <f t="shared" ref="D49:M49" si="26">D11-D45</f>
        <v>15231.218323002069</v>
      </c>
      <c r="E49" s="4">
        <f t="shared" si="26"/>
        <v>15231.218323002069</v>
      </c>
      <c r="F49" s="4">
        <f t="shared" si="26"/>
        <v>15231.218323002069</v>
      </c>
      <c r="G49" s="4">
        <f t="shared" si="26"/>
        <v>15231.218323002069</v>
      </c>
      <c r="H49" s="4">
        <f t="shared" si="26"/>
        <v>15231.218323002069</v>
      </c>
      <c r="I49" s="4">
        <f t="shared" si="26"/>
        <v>15231.218323002069</v>
      </c>
      <c r="J49" s="4">
        <f t="shared" si="26"/>
        <v>15231.218323002069</v>
      </c>
      <c r="K49" s="4">
        <f t="shared" si="26"/>
        <v>15231.218323002069</v>
      </c>
      <c r="L49" s="4">
        <f t="shared" si="26"/>
        <v>15231.218323002069</v>
      </c>
      <c r="M49" s="4">
        <f t="shared" si="26"/>
        <v>15231.218323002069</v>
      </c>
      <c r="N49" s="4">
        <f>SUM(B49:M49)</f>
        <v>172877.61987602487</v>
      </c>
      <c r="O49" s="1"/>
    </row>
    <row r="50" spans="1:15" x14ac:dyDescent="0.3">
      <c r="A50" s="1" t="s">
        <v>103</v>
      </c>
      <c r="B50" s="4">
        <f>B49</f>
        <v>5333.2183230020673</v>
      </c>
      <c r="C50" s="4">
        <f>D5</f>
        <v>5332.2183230020673</v>
      </c>
      <c r="D50" s="4">
        <f t="shared" ref="D50:J50" si="27">E5</f>
        <v>5331.2183230020673</v>
      </c>
      <c r="E50" s="4">
        <f t="shared" si="27"/>
        <v>5331.2183230020673</v>
      </c>
      <c r="F50" s="4">
        <f t="shared" si="27"/>
        <v>5331.2183230020673</v>
      </c>
      <c r="G50" s="4">
        <f t="shared" si="27"/>
        <v>5331.2183230020673</v>
      </c>
      <c r="H50" s="4">
        <f t="shared" si="27"/>
        <v>5331.2183230020673</v>
      </c>
      <c r="I50" s="4">
        <f t="shared" si="27"/>
        <v>5331.2183230020673</v>
      </c>
      <c r="J50" s="4">
        <f t="shared" si="27"/>
        <v>5331.2183230020673</v>
      </c>
      <c r="K50" s="4">
        <f t="shared" ref="K50" si="28">L5</f>
        <v>5331.2183230020673</v>
      </c>
      <c r="L50" s="4">
        <f t="shared" ref="L50" si="29">M5</f>
        <v>5331.2183230020673</v>
      </c>
      <c r="M50" s="4">
        <f>'Cashflow Y2'!B5</f>
        <v>5331.2183230020673</v>
      </c>
      <c r="N50" s="4">
        <f>SUM(B50:M50)</f>
        <v>63977.619876024808</v>
      </c>
      <c r="O50" s="1"/>
    </row>
    <row r="52" spans="1:15" x14ac:dyDescent="0.3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</sheetData>
  <pageMargins left="0.25" right="0.25" top="0.75" bottom="0.75" header="0.3" footer="0.3"/>
  <pageSetup paperSize="9" scale="6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1C682-60C0-4C6B-9631-4F21EC78B3D9}">
  <sheetPr>
    <tabColor rgb="FF00B050"/>
    <pageSetUpPr fitToPage="1"/>
  </sheetPr>
  <dimension ref="B1:H68"/>
  <sheetViews>
    <sheetView zoomScaleNormal="100" workbookViewId="0">
      <selection activeCell="D5" sqref="D5"/>
    </sheetView>
  </sheetViews>
  <sheetFormatPr defaultRowHeight="14.4" x14ac:dyDescent="0.3"/>
  <cols>
    <col min="2" max="2" width="29" customWidth="1"/>
    <col min="3" max="3" width="17.77734375" style="17" customWidth="1"/>
    <col min="4" max="5" width="17.33203125" style="17" customWidth="1"/>
    <col min="6" max="6" width="5.5546875" style="27" bestFit="1" customWidth="1"/>
    <col min="7" max="7" width="21.44140625" customWidth="1"/>
    <col min="8" max="8" width="19.33203125" customWidth="1"/>
  </cols>
  <sheetData>
    <row r="1" spans="2:8" ht="18" x14ac:dyDescent="0.3">
      <c r="B1" s="68"/>
      <c r="C1" s="69"/>
      <c r="D1" s="70" t="s">
        <v>70</v>
      </c>
      <c r="E1" s="69"/>
    </row>
    <row r="2" spans="2:8" ht="15.6" x14ac:dyDescent="0.3">
      <c r="B2" s="71" t="s">
        <v>69</v>
      </c>
      <c r="C2" s="69"/>
      <c r="D2" s="69"/>
      <c r="E2" s="69"/>
      <c r="G2" s="87" t="s">
        <v>83</v>
      </c>
      <c r="H2" s="88"/>
    </row>
    <row r="3" spans="2:8" x14ac:dyDescent="0.3">
      <c r="B3" s="1"/>
      <c r="C3" s="19" t="s">
        <v>82</v>
      </c>
      <c r="D3" s="19" t="s">
        <v>67</v>
      </c>
      <c r="E3" s="19" t="s">
        <v>66</v>
      </c>
      <c r="F3" s="27" t="s">
        <v>71</v>
      </c>
      <c r="G3" s="19" t="s">
        <v>68</v>
      </c>
      <c r="H3" s="19" t="s">
        <v>66</v>
      </c>
    </row>
    <row r="4" spans="2:8" x14ac:dyDescent="0.3">
      <c r="B4" s="29" t="s">
        <v>65</v>
      </c>
      <c r="C4" s="18"/>
      <c r="D4" s="18"/>
      <c r="E4" s="18"/>
      <c r="G4" s="45">
        <v>0.2</v>
      </c>
      <c r="H4" s="45">
        <v>0.1</v>
      </c>
    </row>
    <row r="5" spans="2:8" ht="15" thickBot="1" x14ac:dyDescent="0.35">
      <c r="B5" s="28" t="str">
        <f>'Cashflow Y1'!A7</f>
        <v>Food</v>
      </c>
      <c r="C5" s="5">
        <f>D5*(1-$G$4)</f>
        <v>36864</v>
      </c>
      <c r="D5" s="12">
        <f>'Cashflow Y1'!N7</f>
        <v>46080</v>
      </c>
      <c r="E5" s="5">
        <f>D5*(1+$H$4)</f>
        <v>50688.000000000007</v>
      </c>
    </row>
    <row r="6" spans="2:8" ht="15" thickBot="1" x14ac:dyDescent="0.35">
      <c r="B6" s="28" t="str">
        <f>'Cashflow Y1'!A8</f>
        <v>Bar</v>
      </c>
      <c r="C6" s="5">
        <f>D6*(1-$G$4)</f>
        <v>149333.33333333337</v>
      </c>
      <c r="D6" s="12">
        <f>'Cashflow Y1'!N8</f>
        <v>186666.66666666672</v>
      </c>
      <c r="E6" s="5">
        <f t="shared" ref="E6:E8" si="0">D6*(1+$H$4)</f>
        <v>205333.3333333334</v>
      </c>
      <c r="G6" s="89" t="s">
        <v>106</v>
      </c>
      <c r="H6" s="90"/>
    </row>
    <row r="7" spans="2:8" x14ac:dyDescent="0.3">
      <c r="B7" s="28" t="str">
        <f>'Cashflow Y1'!A9</f>
        <v>Snacks</v>
      </c>
      <c r="C7" s="5">
        <f>D7*(1-$G$4)</f>
        <v>21504</v>
      </c>
      <c r="D7" s="12">
        <f>'Cashflow Y1'!N9</f>
        <v>26880</v>
      </c>
      <c r="E7" s="5">
        <f t="shared" si="0"/>
        <v>29568.000000000004</v>
      </c>
    </row>
    <row r="8" spans="2:8" x14ac:dyDescent="0.3">
      <c r="B8" s="28" t="str">
        <f>'Cashflow Y1'!A10</f>
        <v>Coffee bar</v>
      </c>
      <c r="C8" s="5">
        <f>D8*(1-$G$4)</f>
        <v>24187.16256748651</v>
      </c>
      <c r="D8" s="12">
        <f>'Cashflow Y1'!N10</f>
        <v>30233.953209358137</v>
      </c>
      <c r="E8" s="5">
        <f t="shared" si="0"/>
        <v>33257.348530293952</v>
      </c>
    </row>
    <row r="9" spans="2:8" x14ac:dyDescent="0.3">
      <c r="B9" s="24" t="s">
        <v>64</v>
      </c>
      <c r="C9" s="25">
        <f>D9*(1-$G$4)</f>
        <v>231888.49590081989</v>
      </c>
      <c r="D9" s="25">
        <f>SUM(D5:D8)</f>
        <v>289860.61987602484</v>
      </c>
      <c r="E9" s="25">
        <f>D9*(1+$H$4)</f>
        <v>318846.68186362734</v>
      </c>
    </row>
    <row r="10" spans="2:8" x14ac:dyDescent="0.3">
      <c r="B10" s="29" t="s">
        <v>63</v>
      </c>
      <c r="C10" s="5"/>
      <c r="D10" s="5"/>
      <c r="E10" s="5"/>
    </row>
    <row r="11" spans="2:8" x14ac:dyDescent="0.3">
      <c r="B11" s="28" t="str">
        <f>B5</f>
        <v>Food</v>
      </c>
      <c r="C11" s="5">
        <f>D11*(1-$G$4)</f>
        <v>18432</v>
      </c>
      <c r="D11" s="5">
        <f>'Cashflow Y1'!N7-'Cashflow Y1'!N16</f>
        <v>23040</v>
      </c>
      <c r="E11" s="5">
        <f>D11*(1+$H$4)</f>
        <v>25344.000000000004</v>
      </c>
    </row>
    <row r="12" spans="2:8" x14ac:dyDescent="0.3">
      <c r="B12" s="28" t="str">
        <f t="shared" ref="B12:B14" si="1">B6</f>
        <v>Bar</v>
      </c>
      <c r="C12" s="5">
        <f t="shared" ref="C12:C14" si="2">D12*(1-$G$4)</f>
        <v>82133.333333333372</v>
      </c>
      <c r="D12" s="5">
        <f>'Cashflow Y1'!N8-'Cashflow Y1'!N17</f>
        <v>102666.66666666672</v>
      </c>
      <c r="E12" s="5">
        <f t="shared" ref="E12:E14" si="3">D12*(1+$H$4)</f>
        <v>112933.3333333334</v>
      </c>
    </row>
    <row r="13" spans="2:8" x14ac:dyDescent="0.3">
      <c r="B13" s="28" t="str">
        <f t="shared" si="1"/>
        <v>Snacks</v>
      </c>
      <c r="C13" s="5">
        <f t="shared" si="2"/>
        <v>16128</v>
      </c>
      <c r="D13" s="5">
        <f>'Cashflow Y1'!N9-'Cashflow Y1'!N18</f>
        <v>20160</v>
      </c>
      <c r="E13" s="5">
        <f t="shared" si="3"/>
        <v>22176</v>
      </c>
    </row>
    <row r="14" spans="2:8" x14ac:dyDescent="0.3">
      <c r="B14" s="28" t="str">
        <f t="shared" si="1"/>
        <v>Coffee bar</v>
      </c>
      <c r="C14" s="5">
        <f t="shared" si="2"/>
        <v>20155.16256748651</v>
      </c>
      <c r="D14" s="5">
        <f>'Cashflow Y1'!N10-'Cashflow Y1'!N19</f>
        <v>25193.953209358137</v>
      </c>
      <c r="E14" s="5">
        <f t="shared" si="3"/>
        <v>27713.348530293952</v>
      </c>
    </row>
    <row r="15" spans="2:8" x14ac:dyDescent="0.3">
      <c r="B15" s="24" t="s">
        <v>62</v>
      </c>
      <c r="C15" s="25">
        <f>D15*(1-$G$4)</f>
        <v>136848.49590081986</v>
      </c>
      <c r="D15" s="25">
        <f>SUM(D11:D14)</f>
        <v>171060.61987602484</v>
      </c>
      <c r="E15" s="25">
        <f>D15*(1+$H$4)</f>
        <v>188166.68186362734</v>
      </c>
    </row>
    <row r="16" spans="2:8" x14ac:dyDescent="0.3">
      <c r="B16" s="1"/>
      <c r="C16" s="5"/>
      <c r="D16" s="5"/>
      <c r="E16" s="5"/>
    </row>
    <row r="17" spans="2:5" x14ac:dyDescent="0.3">
      <c r="B17" s="3" t="s">
        <v>61</v>
      </c>
      <c r="C17" s="5"/>
      <c r="D17" s="5"/>
      <c r="E17" s="5"/>
    </row>
    <row r="18" spans="2:5" x14ac:dyDescent="0.3">
      <c r="B18" s="11" t="s">
        <v>81</v>
      </c>
      <c r="C18" s="12">
        <f>'Cashflow Y1'!$N$24</f>
        <v>60000</v>
      </c>
      <c r="D18" s="12">
        <f>'Cashflow Y1'!$N$24</f>
        <v>60000</v>
      </c>
      <c r="E18" s="12">
        <f>'Cashflow Y1'!$N$24</f>
        <v>60000</v>
      </c>
    </row>
    <row r="19" spans="2:5" x14ac:dyDescent="0.3">
      <c r="B19" s="11" t="s">
        <v>60</v>
      </c>
      <c r="C19" s="16">
        <f>D19*(1-$G$4)</f>
        <v>0</v>
      </c>
      <c r="D19" s="16">
        <v>0</v>
      </c>
      <c r="E19" s="16">
        <f>D19*(1+$H$4)</f>
        <v>0</v>
      </c>
    </row>
    <row r="20" spans="2:5" x14ac:dyDescent="0.3">
      <c r="B20" s="48" t="s">
        <v>59</v>
      </c>
      <c r="C20" s="49">
        <f>D20</f>
        <v>60000</v>
      </c>
      <c r="D20" s="49">
        <f>SUM(D18:D19)</f>
        <v>60000</v>
      </c>
      <c r="E20" s="49">
        <f>D20</f>
        <v>60000</v>
      </c>
    </row>
    <row r="21" spans="2:5" x14ac:dyDescent="0.3">
      <c r="B21" s="1"/>
      <c r="C21" s="5"/>
      <c r="D21" s="5"/>
      <c r="E21" s="5"/>
    </row>
    <row r="22" spans="2:5" x14ac:dyDescent="0.3">
      <c r="B22" s="24" t="s">
        <v>58</v>
      </c>
      <c r="C22" s="25">
        <f>D22*(1-$G$4)</f>
        <v>88848.495900819878</v>
      </c>
      <c r="D22" s="25">
        <f>D15-D20</f>
        <v>111060.61987602484</v>
      </c>
      <c r="E22" s="25">
        <f>D22*(1+$H$4)</f>
        <v>122166.68186362732</v>
      </c>
    </row>
    <row r="23" spans="2:5" x14ac:dyDescent="0.3">
      <c r="B23" s="3" t="s">
        <v>7</v>
      </c>
      <c r="C23" s="5"/>
      <c r="D23" s="5"/>
      <c r="E23" s="5"/>
    </row>
    <row r="24" spans="2:5" x14ac:dyDescent="0.3">
      <c r="B24" s="3" t="s">
        <v>57</v>
      </c>
      <c r="C24" s="5"/>
      <c r="D24" s="5"/>
      <c r="E24" s="5"/>
    </row>
    <row r="25" spans="2:5" x14ac:dyDescent="0.3">
      <c r="B25" s="11" t="str">
        <f>'Cashflow Y1'!$A26</f>
        <v>Insurance Heat, light, logs</v>
      </c>
      <c r="C25" s="5">
        <f t="shared" ref="C25:C41" si="4">D25</f>
        <v>12000</v>
      </c>
      <c r="D25" s="12">
        <f>'Cashflow Y1'!$N26</f>
        <v>12000</v>
      </c>
      <c r="E25" s="5">
        <f t="shared" ref="E25:E41" si="5">D25</f>
        <v>12000</v>
      </c>
    </row>
    <row r="26" spans="2:5" x14ac:dyDescent="0.3">
      <c r="B26" s="11" t="str">
        <f>'Cashflow Y1'!$A27</f>
        <v>Postage/Stationary</v>
      </c>
      <c r="C26" s="5">
        <f t="shared" si="4"/>
        <v>240</v>
      </c>
      <c r="D26" s="12">
        <f>'Cashflow Y1'!$N27</f>
        <v>240</v>
      </c>
      <c r="E26" s="5">
        <f t="shared" si="5"/>
        <v>240</v>
      </c>
    </row>
    <row r="27" spans="2:5" x14ac:dyDescent="0.3">
      <c r="B27" s="11" t="str">
        <f>'Cashflow Y1'!$A28</f>
        <v>Advertising</v>
      </c>
      <c r="C27" s="5">
        <f t="shared" si="4"/>
        <v>240</v>
      </c>
      <c r="D27" s="12">
        <f>'Cashflow Y1'!$N28</f>
        <v>240</v>
      </c>
      <c r="E27" s="5">
        <f t="shared" si="5"/>
        <v>240</v>
      </c>
    </row>
    <row r="28" spans="2:5" x14ac:dyDescent="0.3">
      <c r="B28" s="11" t="str">
        <f>'Cashflow Y1'!$A29</f>
        <v>Telephone</v>
      </c>
      <c r="C28" s="5">
        <f t="shared" si="4"/>
        <v>480</v>
      </c>
      <c r="D28" s="12">
        <f>'Cashflow Y1'!$N29</f>
        <v>480</v>
      </c>
      <c r="E28" s="5">
        <f t="shared" si="5"/>
        <v>480</v>
      </c>
    </row>
    <row r="29" spans="2:5" x14ac:dyDescent="0.3">
      <c r="B29" s="11" t="str">
        <f>'Cashflow Y1'!$A30</f>
        <v>Consumables</v>
      </c>
      <c r="C29" s="5">
        <f t="shared" si="4"/>
        <v>1200</v>
      </c>
      <c r="D29" s="12">
        <f>'Cashflow Y1'!$N30</f>
        <v>1200</v>
      </c>
      <c r="E29" s="5">
        <f t="shared" si="5"/>
        <v>1200</v>
      </c>
    </row>
    <row r="30" spans="2:5" x14ac:dyDescent="0.3">
      <c r="B30" s="11" t="str">
        <f>'Cashflow Y1'!$A31</f>
        <v>Crockery &amp; Glass</v>
      </c>
      <c r="C30" s="5">
        <f t="shared" si="4"/>
        <v>1200</v>
      </c>
      <c r="D30" s="12">
        <f>'Cashflow Y1'!$N31</f>
        <v>1200</v>
      </c>
      <c r="E30" s="5">
        <f t="shared" si="5"/>
        <v>1200</v>
      </c>
    </row>
    <row r="31" spans="2:5" x14ac:dyDescent="0.3">
      <c r="B31" s="11" t="str">
        <f>'Cashflow Y1'!$A32</f>
        <v>Waste Disposal</v>
      </c>
      <c r="C31" s="5">
        <f t="shared" si="4"/>
        <v>2736</v>
      </c>
      <c r="D31" s="12">
        <f>'Cashflow Y1'!$N32</f>
        <v>2736</v>
      </c>
      <c r="E31" s="5">
        <f t="shared" si="5"/>
        <v>2736</v>
      </c>
    </row>
    <row r="32" spans="2:5" x14ac:dyDescent="0.3">
      <c r="B32" s="11" t="str">
        <f>'Cashflow Y1'!$A33</f>
        <v>Rates</v>
      </c>
      <c r="C32" s="5">
        <f t="shared" si="4"/>
        <v>2520</v>
      </c>
      <c r="D32" s="12">
        <f>'Cashflow Y1'!$N33</f>
        <v>2520</v>
      </c>
      <c r="E32" s="5">
        <f t="shared" si="5"/>
        <v>2520</v>
      </c>
    </row>
    <row r="33" spans="2:5" x14ac:dyDescent="0.3">
      <c r="B33" s="11" t="str">
        <f>'Cashflow Y1'!$A34</f>
        <v>Repairs &amp; Renewals</v>
      </c>
      <c r="C33" s="5">
        <f t="shared" si="4"/>
        <v>1200</v>
      </c>
      <c r="D33" s="12">
        <f>'Cashflow Y1'!$N34</f>
        <v>1200</v>
      </c>
      <c r="E33" s="5">
        <f t="shared" si="5"/>
        <v>1200</v>
      </c>
    </row>
    <row r="34" spans="2:5" x14ac:dyDescent="0.3">
      <c r="B34" s="11" t="str">
        <f>'Cashflow Y1'!$A35</f>
        <v>Water</v>
      </c>
      <c r="C34" s="5">
        <f t="shared" si="4"/>
        <v>2400</v>
      </c>
      <c r="D34" s="12">
        <f>'Cashflow Y1'!$N35</f>
        <v>2400</v>
      </c>
      <c r="E34" s="5">
        <f t="shared" si="5"/>
        <v>2400</v>
      </c>
    </row>
    <row r="35" spans="2:5" x14ac:dyDescent="0.3">
      <c r="B35" s="11" t="str">
        <f>'Cashflow Y1'!$A36</f>
        <v>Stocktaking</v>
      </c>
      <c r="C35" s="5">
        <f t="shared" si="4"/>
        <v>600</v>
      </c>
      <c r="D35" s="12">
        <f>'Cashflow Y1'!$N36</f>
        <v>600</v>
      </c>
      <c r="E35" s="5">
        <f t="shared" si="5"/>
        <v>600</v>
      </c>
    </row>
    <row r="36" spans="2:5" x14ac:dyDescent="0.3">
      <c r="B36" s="11" t="str">
        <f>'Cashflow Y1'!$A37</f>
        <v>Accountancy</v>
      </c>
      <c r="C36" s="5">
        <f t="shared" si="4"/>
        <v>4800</v>
      </c>
      <c r="D36" s="12">
        <f>'Cashflow Y1'!$N37</f>
        <v>4800</v>
      </c>
      <c r="E36" s="5">
        <f t="shared" si="5"/>
        <v>4800</v>
      </c>
    </row>
    <row r="37" spans="2:5" x14ac:dyDescent="0.3">
      <c r="B37" s="11" t="str">
        <f>'Cashflow Y1'!$A38</f>
        <v>Bank Charges</v>
      </c>
      <c r="C37" s="5">
        <f t="shared" si="4"/>
        <v>1200</v>
      </c>
      <c r="D37" s="12">
        <f>'Cashflow Y1'!$N38</f>
        <v>1200</v>
      </c>
      <c r="E37" s="5">
        <f t="shared" si="5"/>
        <v>1200</v>
      </c>
    </row>
    <row r="38" spans="2:5" x14ac:dyDescent="0.3">
      <c r="B38" s="11" t="str">
        <f>'Cashflow Y1'!$A39</f>
        <v>C/card Fees</v>
      </c>
      <c r="C38" s="5">
        <f t="shared" si="4"/>
        <v>1500</v>
      </c>
      <c r="D38" s="12">
        <f>'Cashflow Y1'!$N39</f>
        <v>1500</v>
      </c>
      <c r="E38" s="5">
        <f t="shared" si="5"/>
        <v>1500</v>
      </c>
    </row>
    <row r="39" spans="2:5" x14ac:dyDescent="0.3">
      <c r="B39" s="11" t="str">
        <f>'Cashflow Y1'!$A40</f>
        <v>General Expenses</v>
      </c>
      <c r="C39" s="5">
        <f t="shared" si="4"/>
        <v>2400</v>
      </c>
      <c r="D39" s="12">
        <f>'Cashflow Y1'!$N40</f>
        <v>2400</v>
      </c>
      <c r="E39" s="5">
        <f t="shared" si="5"/>
        <v>2400</v>
      </c>
    </row>
    <row r="40" spans="2:5" x14ac:dyDescent="0.3">
      <c r="B40" s="11" t="str">
        <f>'Cashflow Y1'!$A41</f>
        <v>Licence fee</v>
      </c>
      <c r="C40" s="5">
        <f t="shared" si="4"/>
        <v>369.99999999999994</v>
      </c>
      <c r="D40" s="12">
        <f>'Cashflow Y1'!$N41</f>
        <v>369.99999999999994</v>
      </c>
      <c r="E40" s="5">
        <f t="shared" si="5"/>
        <v>369.99999999999994</v>
      </c>
    </row>
    <row r="41" spans="2:5" x14ac:dyDescent="0.3">
      <c r="B41" s="11" t="str">
        <f>'Cashflow Y1'!$A42</f>
        <v>Loan Repayments</v>
      </c>
      <c r="C41" s="5">
        <f t="shared" si="4"/>
        <v>11997</v>
      </c>
      <c r="D41" s="12">
        <f>'Cashflow Y1'!$N42</f>
        <v>11997</v>
      </c>
      <c r="E41" s="5">
        <f t="shared" si="5"/>
        <v>11997</v>
      </c>
    </row>
    <row r="42" spans="2:5" x14ac:dyDescent="0.3">
      <c r="B42" s="48" t="s">
        <v>56</v>
      </c>
      <c r="C42" s="49">
        <f>SUM(C25:C41)</f>
        <v>47083</v>
      </c>
      <c r="D42" s="49">
        <f>SUM(D25:D41)</f>
        <v>47083</v>
      </c>
      <c r="E42" s="49">
        <f>SUM(E25:E41)</f>
        <v>47083</v>
      </c>
    </row>
    <row r="43" spans="2:5" x14ac:dyDescent="0.3">
      <c r="B43" s="48" t="s">
        <v>101</v>
      </c>
      <c r="C43" s="49">
        <f>C42+C20</f>
        <v>107083</v>
      </c>
      <c r="D43" s="49">
        <f t="shared" ref="D43:E43" si="6">D42+D20</f>
        <v>107083</v>
      </c>
      <c r="E43" s="49">
        <f t="shared" si="6"/>
        <v>107083</v>
      </c>
    </row>
    <row r="44" spans="2:5" x14ac:dyDescent="0.3">
      <c r="B44" s="24" t="s">
        <v>55</v>
      </c>
      <c r="C44" s="25">
        <f>C22-C42</f>
        <v>41765.495900819878</v>
      </c>
      <c r="D44" s="25">
        <f>D15-D43</f>
        <v>63977.619876024837</v>
      </c>
      <c r="E44" s="25">
        <f>E22-E42</f>
        <v>75083.681863627324</v>
      </c>
    </row>
    <row r="45" spans="2:5" x14ac:dyDescent="0.3">
      <c r="B45" s="1"/>
      <c r="C45" s="5"/>
      <c r="D45" s="5"/>
      <c r="E45" s="5"/>
    </row>
    <row r="46" spans="2:5" x14ac:dyDescent="0.3">
      <c r="B46" s="3" t="s">
        <v>54</v>
      </c>
      <c r="C46" s="5"/>
      <c r="D46" s="5"/>
      <c r="E46" s="5"/>
    </row>
    <row r="47" spans="2:5" x14ac:dyDescent="0.3">
      <c r="B47" s="1" t="str">
        <f>'Y1 CapEx'!A2</f>
        <v>Legal Fees/IPS set up</v>
      </c>
      <c r="C47" s="5">
        <f>'Y1 CapEx'!$B2</f>
        <v>2000</v>
      </c>
      <c r="D47" s="5">
        <f>'Y1 CapEx'!$B2</f>
        <v>2000</v>
      </c>
      <c r="E47" s="5">
        <f>'Y1 CapEx'!$B2</f>
        <v>2000</v>
      </c>
    </row>
    <row r="48" spans="2:5" x14ac:dyDescent="0.3">
      <c r="B48" s="1" t="str">
        <f>'Y1 CapEx'!A3</f>
        <v>Survey/Valuation</v>
      </c>
      <c r="C48" s="5">
        <f>'Y1 CapEx'!$B3</f>
        <v>0</v>
      </c>
      <c r="D48" s="5">
        <f>'Y1 CapEx'!$B3</f>
        <v>0</v>
      </c>
      <c r="E48" s="5">
        <f>'Y1 CapEx'!$B3</f>
        <v>0</v>
      </c>
    </row>
    <row r="49" spans="2:5" x14ac:dyDescent="0.3">
      <c r="B49" s="1" t="str">
        <f>'Y1 CapEx'!A4</f>
        <v>Building works</v>
      </c>
      <c r="C49" s="5">
        <f>'Y1 CapEx'!$B4</f>
        <v>57500</v>
      </c>
      <c r="D49" s="5">
        <f>'Y1 CapEx'!$B4</f>
        <v>57500</v>
      </c>
      <c r="E49" s="5">
        <f>'Y1 CapEx'!$B4</f>
        <v>57500</v>
      </c>
    </row>
    <row r="50" spans="2:5" x14ac:dyDescent="0.3">
      <c r="B50" s="1" t="str">
        <f>'Y1 CapEx'!A5</f>
        <v>Electrical works</v>
      </c>
      <c r="C50" s="5">
        <f>'Y1 CapEx'!$B5</f>
        <v>22960</v>
      </c>
      <c r="D50" s="5">
        <f>'Y1 CapEx'!$B5</f>
        <v>22960</v>
      </c>
      <c r="E50" s="5">
        <f>'Y1 CapEx'!$B5</f>
        <v>22960</v>
      </c>
    </row>
    <row r="51" spans="2:5" x14ac:dyDescent="0.3">
      <c r="B51" s="1" t="str">
        <f>'Y1 CapEx'!A6</f>
        <v>Water works</v>
      </c>
      <c r="C51" s="5">
        <f>'Y1 CapEx'!$B6</f>
        <v>29580</v>
      </c>
      <c r="D51" s="5">
        <f>'Y1 CapEx'!$B6</f>
        <v>29580</v>
      </c>
      <c r="E51" s="5">
        <f>'Y1 CapEx'!$B6</f>
        <v>29580</v>
      </c>
    </row>
    <row r="52" spans="2:5" x14ac:dyDescent="0.3">
      <c r="B52" s="1">
        <f>'Y1 CapEx'!A7</f>
        <v>0</v>
      </c>
      <c r="C52" s="5">
        <f>'Y1 CapEx'!$B7</f>
        <v>0</v>
      </c>
      <c r="D52" s="5">
        <f>'Y1 CapEx'!$B7</f>
        <v>0</v>
      </c>
      <c r="E52" s="5">
        <f>'Y1 CapEx'!$B7</f>
        <v>0</v>
      </c>
    </row>
    <row r="53" spans="2:5" x14ac:dyDescent="0.3">
      <c r="B53" s="1">
        <f>'Y1 CapEx'!A8</f>
        <v>0</v>
      </c>
      <c r="C53" s="5">
        <f>'Y1 CapEx'!$B8</f>
        <v>0</v>
      </c>
      <c r="D53" s="5">
        <f>'Y1 CapEx'!$B8</f>
        <v>0</v>
      </c>
      <c r="E53" s="5">
        <f>'Y1 CapEx'!$B8</f>
        <v>0</v>
      </c>
    </row>
    <row r="54" spans="2:5" x14ac:dyDescent="0.3">
      <c r="B54" s="1">
        <f>'Y1 CapEx'!A9</f>
        <v>0</v>
      </c>
      <c r="C54" s="5">
        <f>'Y1 CapEx'!$B9</f>
        <v>0</v>
      </c>
      <c r="D54" s="5">
        <f>'Y1 CapEx'!$B9</f>
        <v>0</v>
      </c>
      <c r="E54" s="5">
        <f>'Y1 CapEx'!$B9</f>
        <v>0</v>
      </c>
    </row>
    <row r="55" spans="2:5" x14ac:dyDescent="0.3">
      <c r="B55" s="1">
        <f>'Y1 CapEx'!A10</f>
        <v>0</v>
      </c>
      <c r="C55" s="5">
        <f>'Y1 CapEx'!$B10</f>
        <v>0</v>
      </c>
      <c r="D55" s="5">
        <f>'Y1 CapEx'!$B10</f>
        <v>0</v>
      </c>
      <c r="E55" s="5">
        <f>'Y1 CapEx'!$B10</f>
        <v>0</v>
      </c>
    </row>
    <row r="56" spans="2:5" x14ac:dyDescent="0.3">
      <c r="B56" s="1">
        <f>'Y1 CapEx'!A11</f>
        <v>0</v>
      </c>
      <c r="C56" s="5">
        <f>'Y1 CapEx'!$B11</f>
        <v>0</v>
      </c>
      <c r="D56" s="5">
        <f>'Y1 CapEx'!$B11</f>
        <v>0</v>
      </c>
      <c r="E56" s="5">
        <f>'Y1 CapEx'!$B11</f>
        <v>0</v>
      </c>
    </row>
    <row r="57" spans="2:5" x14ac:dyDescent="0.3">
      <c r="B57" s="1">
        <f>'Y1 CapEx'!A12</f>
        <v>0</v>
      </c>
      <c r="C57" s="5">
        <f>'Y1 CapEx'!$B12</f>
        <v>0</v>
      </c>
      <c r="D57" s="5">
        <f>'Y1 CapEx'!$B12</f>
        <v>0</v>
      </c>
      <c r="E57" s="5">
        <f>'Y1 CapEx'!$B12</f>
        <v>0</v>
      </c>
    </row>
    <row r="58" spans="2:5" x14ac:dyDescent="0.3">
      <c r="B58" s="1">
        <f>'Y1 CapEx'!A13</f>
        <v>0</v>
      </c>
      <c r="C58" s="5">
        <f>'Y1 CapEx'!$B13</f>
        <v>0</v>
      </c>
      <c r="D58" s="5">
        <f>'Y1 CapEx'!$B13</f>
        <v>0</v>
      </c>
      <c r="E58" s="5">
        <f>'Y1 CapEx'!$B13</f>
        <v>0</v>
      </c>
    </row>
    <row r="59" spans="2:5" x14ac:dyDescent="0.3">
      <c r="B59" s="1">
        <f>'Y1 CapEx'!A14</f>
        <v>0</v>
      </c>
      <c r="C59" s="5">
        <f>'Y1 CapEx'!$B14</f>
        <v>0</v>
      </c>
      <c r="D59" s="5">
        <f>'Y1 CapEx'!$B14</f>
        <v>0</v>
      </c>
      <c r="E59" s="5">
        <f>'Y1 CapEx'!$B14</f>
        <v>0</v>
      </c>
    </row>
    <row r="60" spans="2:5" x14ac:dyDescent="0.3">
      <c r="B60" s="1">
        <f>'Y1 CapEx'!A15</f>
        <v>0</v>
      </c>
      <c r="C60" s="5">
        <f>'Y1 CapEx'!$B15</f>
        <v>0</v>
      </c>
      <c r="D60" s="5">
        <f>'Y1 CapEx'!$B15</f>
        <v>0</v>
      </c>
      <c r="E60" s="5">
        <f>'Y1 CapEx'!$B15</f>
        <v>0</v>
      </c>
    </row>
    <row r="61" spans="2:5" x14ac:dyDescent="0.3">
      <c r="B61" s="1"/>
      <c r="C61" s="5"/>
      <c r="D61" s="5"/>
      <c r="E61" s="5"/>
    </row>
    <row r="62" spans="2:5" x14ac:dyDescent="0.3">
      <c r="B62" s="1" t="str">
        <f>'Y1 CapEx'!A18</f>
        <v>Contingency</v>
      </c>
      <c r="C62" s="5">
        <f>D62</f>
        <v>0</v>
      </c>
      <c r="D62" s="5">
        <f>'Y1 CapEx'!B18</f>
        <v>0</v>
      </c>
      <c r="E62" s="5">
        <f>D62</f>
        <v>0</v>
      </c>
    </row>
    <row r="63" spans="2:5" x14ac:dyDescent="0.3">
      <c r="B63" s="1" t="s">
        <v>158</v>
      </c>
      <c r="C63" s="5">
        <f>D63</f>
        <v>32255</v>
      </c>
      <c r="D63" s="5">
        <f>'Y1 Start up costs'!B34</f>
        <v>32255</v>
      </c>
      <c r="E63" s="5">
        <f>D63</f>
        <v>32255</v>
      </c>
    </row>
    <row r="64" spans="2:5" x14ac:dyDescent="0.3">
      <c r="B64" s="1"/>
      <c r="C64" s="5"/>
      <c r="D64" s="5"/>
      <c r="E64" s="5"/>
    </row>
    <row r="65" spans="2:5" x14ac:dyDescent="0.3">
      <c r="B65" s="48" t="s">
        <v>50</v>
      </c>
      <c r="C65" s="49">
        <f>SUM(C47:C64)</f>
        <v>144295</v>
      </c>
      <c r="D65" s="49">
        <f>SUM(D47:D64)</f>
        <v>144295</v>
      </c>
      <c r="E65" s="49">
        <f>SUM(E47:E64)</f>
        <v>144295</v>
      </c>
    </row>
    <row r="66" spans="2:5" x14ac:dyDescent="0.3">
      <c r="B66" s="1"/>
      <c r="C66" s="5"/>
      <c r="D66" s="5"/>
      <c r="E66" s="5"/>
    </row>
    <row r="67" spans="2:5" x14ac:dyDescent="0.3">
      <c r="B67" s="24" t="s">
        <v>49</v>
      </c>
      <c r="C67" s="51">
        <f>SUM(C44-C65)</f>
        <v>-102529.50409918012</v>
      </c>
      <c r="D67" s="51">
        <f>SUM(D44-D65)</f>
        <v>-80317.380123975163</v>
      </c>
      <c r="E67" s="51">
        <f>SUM(E44-E65)</f>
        <v>-69211.318136372676</v>
      </c>
    </row>
    <row r="68" spans="2:5" x14ac:dyDescent="0.3">
      <c r="B68" s="1"/>
      <c r="C68" s="5"/>
      <c r="D68" s="5"/>
      <c r="E68" s="5"/>
    </row>
  </sheetData>
  <mergeCells count="2">
    <mergeCell ref="G2:H2"/>
    <mergeCell ref="G6:H6"/>
  </mergeCells>
  <pageMargins left="0.7" right="0.7" top="0.75" bottom="0.75" header="0.3" footer="0.3"/>
  <pageSetup paperSize="9" scale="70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22"/>
  <sheetViews>
    <sheetView topLeftCell="B1" workbookViewId="0">
      <selection activeCell="F20" sqref="F20"/>
    </sheetView>
  </sheetViews>
  <sheetFormatPr defaultRowHeight="14.4" x14ac:dyDescent="0.3"/>
  <cols>
    <col min="1" max="1" width="27.77734375" customWidth="1"/>
    <col min="2" max="2" width="11.44140625" customWidth="1"/>
    <col min="3" max="3" width="93.21875" bestFit="1" customWidth="1"/>
  </cols>
  <sheetData>
    <row r="1" spans="1:4" x14ac:dyDescent="0.3">
      <c r="A1" s="68" t="s">
        <v>117</v>
      </c>
      <c r="B1" s="68"/>
      <c r="C1" s="68"/>
    </row>
    <row r="2" spans="1:4" ht="18" x14ac:dyDescent="0.35">
      <c r="A2" s="77" t="s">
        <v>53</v>
      </c>
      <c r="B2" s="81">
        <v>2000</v>
      </c>
      <c r="C2" s="73" t="s">
        <v>165</v>
      </c>
    </row>
    <row r="3" spans="1:4" ht="18" x14ac:dyDescent="0.35">
      <c r="A3" s="77" t="s">
        <v>52</v>
      </c>
      <c r="B3" s="81">
        <v>0</v>
      </c>
      <c r="C3" s="73" t="s">
        <v>147</v>
      </c>
    </row>
    <row r="4" spans="1:4" ht="18" x14ac:dyDescent="0.35">
      <c r="A4" s="77" t="s">
        <v>160</v>
      </c>
      <c r="B4" s="81">
        <v>57500</v>
      </c>
      <c r="C4" s="73" t="s">
        <v>166</v>
      </c>
      <c r="D4" t="s">
        <v>164</v>
      </c>
    </row>
    <row r="5" spans="1:4" ht="18" x14ac:dyDescent="0.35">
      <c r="A5" s="77" t="s">
        <v>161</v>
      </c>
      <c r="B5" s="81">
        <v>22960</v>
      </c>
      <c r="C5" s="73" t="s">
        <v>168</v>
      </c>
      <c r="D5" t="s">
        <v>164</v>
      </c>
    </row>
    <row r="6" spans="1:4" ht="18" x14ac:dyDescent="0.35">
      <c r="A6" s="77" t="s">
        <v>162</v>
      </c>
      <c r="B6" s="81">
        <v>29580</v>
      </c>
      <c r="C6" s="73" t="s">
        <v>167</v>
      </c>
      <c r="D6" t="s">
        <v>164</v>
      </c>
    </row>
    <row r="7" spans="1:4" ht="18" x14ac:dyDescent="0.35">
      <c r="A7" s="77"/>
      <c r="B7" s="81"/>
      <c r="C7" s="73"/>
    </row>
    <row r="8" spans="1:4" ht="18" x14ac:dyDescent="0.35">
      <c r="A8" s="77"/>
      <c r="B8" s="81"/>
      <c r="C8" s="73"/>
    </row>
    <row r="9" spans="1:4" ht="18" x14ac:dyDescent="0.35">
      <c r="A9" s="77"/>
      <c r="B9" s="81"/>
      <c r="C9" s="73"/>
    </row>
    <row r="10" spans="1:4" ht="18" x14ac:dyDescent="0.35">
      <c r="A10" s="77"/>
      <c r="B10" s="81"/>
      <c r="C10" s="73"/>
    </row>
    <row r="11" spans="1:4" ht="18" x14ac:dyDescent="0.35">
      <c r="A11" s="77"/>
      <c r="B11" s="81"/>
      <c r="C11" s="73"/>
    </row>
    <row r="12" spans="1:4" ht="18" x14ac:dyDescent="0.35">
      <c r="A12" s="77"/>
      <c r="B12" s="81"/>
      <c r="C12" s="73"/>
    </row>
    <row r="13" spans="1:4" ht="18" x14ac:dyDescent="0.35">
      <c r="A13" s="77"/>
      <c r="B13" s="81"/>
      <c r="C13" s="73"/>
    </row>
    <row r="14" spans="1:4" ht="18" x14ac:dyDescent="0.35">
      <c r="A14" s="77"/>
      <c r="B14" s="81"/>
      <c r="C14" s="73"/>
    </row>
    <row r="15" spans="1:4" ht="18" x14ac:dyDescent="0.35">
      <c r="A15" s="77"/>
      <c r="B15" s="81"/>
      <c r="C15" s="73"/>
    </row>
    <row r="16" spans="1:4" ht="18" x14ac:dyDescent="0.35">
      <c r="A16" s="75" t="s">
        <v>27</v>
      </c>
      <c r="B16" s="83">
        <f>SUM(B2:B15)</f>
        <v>112040</v>
      </c>
      <c r="C16" s="73"/>
    </row>
    <row r="17" spans="1:5" ht="18.600000000000001" thickBot="1" x14ac:dyDescent="0.4">
      <c r="A17" s="73"/>
      <c r="B17" s="82"/>
      <c r="C17" s="73"/>
    </row>
    <row r="18" spans="1:5" ht="18.600000000000001" thickBot="1" x14ac:dyDescent="0.4">
      <c r="A18" s="77" t="s">
        <v>148</v>
      </c>
      <c r="B18" s="81">
        <f>B16*D18</f>
        <v>0</v>
      </c>
      <c r="C18" s="73" t="s">
        <v>149</v>
      </c>
      <c r="D18" s="84">
        <v>0</v>
      </c>
      <c r="E18" t="s">
        <v>169</v>
      </c>
    </row>
    <row r="19" spans="1:5" ht="18.600000000000001" thickBot="1" x14ac:dyDescent="0.4">
      <c r="A19" s="73"/>
      <c r="B19" s="73"/>
      <c r="C19" s="73"/>
    </row>
    <row r="20" spans="1:5" ht="18.600000000000001" thickBot="1" x14ac:dyDescent="0.4">
      <c r="A20" s="85" t="s">
        <v>5</v>
      </c>
      <c r="B20" s="86">
        <f>B16+B18</f>
        <v>112040</v>
      </c>
      <c r="C20" s="73"/>
    </row>
    <row r="21" spans="1:5" ht="18.600000000000001" thickBot="1" x14ac:dyDescent="0.4">
      <c r="A21" s="73"/>
      <c r="B21" s="73"/>
      <c r="C21" s="73"/>
    </row>
    <row r="22" spans="1:5" ht="15" thickBot="1" x14ac:dyDescent="0.35">
      <c r="B22" s="55" t="s">
        <v>107</v>
      </c>
      <c r="C22" s="5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FD4B6-A6DC-42BF-AD6E-783A2A3048A5}">
  <sheetPr>
    <tabColor rgb="FF00B050"/>
  </sheetPr>
  <dimension ref="A1:D34"/>
  <sheetViews>
    <sheetView topLeftCell="A11" workbookViewId="0">
      <selection activeCell="B34" sqref="B34"/>
    </sheetView>
  </sheetViews>
  <sheetFormatPr defaultRowHeight="14.4" x14ac:dyDescent="0.3"/>
  <cols>
    <col min="1" max="1" width="49.6640625" bestFit="1" customWidth="1"/>
    <col min="2" max="2" width="20.33203125" style="72" bestFit="1" customWidth="1"/>
    <col min="3" max="3" width="56" customWidth="1"/>
    <col min="4" max="4" width="22.6640625" bestFit="1" customWidth="1"/>
  </cols>
  <sheetData>
    <row r="1" spans="1:3" ht="18" x14ac:dyDescent="0.35">
      <c r="A1" s="73"/>
      <c r="B1" s="74"/>
      <c r="C1" s="73"/>
    </row>
    <row r="2" spans="1:3" ht="18" x14ac:dyDescent="0.35">
      <c r="A2" s="75" t="s">
        <v>121</v>
      </c>
      <c r="B2" s="76"/>
      <c r="C2" s="77"/>
    </row>
    <row r="3" spans="1:3" ht="18" x14ac:dyDescent="0.35">
      <c r="A3" s="77" t="s">
        <v>8</v>
      </c>
      <c r="B3" s="76">
        <v>1920</v>
      </c>
      <c r="C3" s="77" t="s">
        <v>134</v>
      </c>
    </row>
    <row r="4" spans="1:3" ht="18" x14ac:dyDescent="0.35">
      <c r="A4" s="77" t="s">
        <v>45</v>
      </c>
      <c r="B4" s="76">
        <v>7000</v>
      </c>
      <c r="C4" s="77" t="s">
        <v>134</v>
      </c>
    </row>
    <row r="5" spans="1:3" ht="18" x14ac:dyDescent="0.35">
      <c r="A5" s="77" t="s">
        <v>94</v>
      </c>
      <c r="B5" s="76">
        <v>560</v>
      </c>
      <c r="C5" s="77" t="s">
        <v>134</v>
      </c>
    </row>
    <row r="6" spans="1:3" ht="18" x14ac:dyDescent="0.35">
      <c r="A6" s="77" t="s">
        <v>87</v>
      </c>
      <c r="B6" s="76">
        <v>420</v>
      </c>
      <c r="C6" s="77" t="s">
        <v>134</v>
      </c>
    </row>
    <row r="7" spans="1:3" ht="18" x14ac:dyDescent="0.35">
      <c r="A7" s="75" t="s">
        <v>5</v>
      </c>
      <c r="B7" s="78">
        <f>SUM(B3:B6)</f>
        <v>9900</v>
      </c>
      <c r="C7" s="77"/>
    </row>
    <row r="8" spans="1:3" x14ac:dyDescent="0.3">
      <c r="B8"/>
    </row>
    <row r="9" spans="1:3" x14ac:dyDescent="0.3">
      <c r="B9"/>
    </row>
    <row r="10" spans="1:3" ht="18" x14ac:dyDescent="0.35">
      <c r="A10" s="75" t="s">
        <v>129</v>
      </c>
      <c r="B10" s="76"/>
      <c r="C10" s="77"/>
    </row>
    <row r="11" spans="1:3" ht="18" x14ac:dyDescent="0.35">
      <c r="A11" s="77" t="s">
        <v>9</v>
      </c>
      <c r="B11" s="76">
        <v>5000</v>
      </c>
      <c r="C11" s="77" t="s">
        <v>124</v>
      </c>
    </row>
    <row r="12" spans="1:3" ht="18" x14ac:dyDescent="0.35">
      <c r="A12" s="77" t="s">
        <v>125</v>
      </c>
      <c r="B12" s="76">
        <v>300</v>
      </c>
      <c r="C12" s="77" t="s">
        <v>140</v>
      </c>
    </row>
    <row r="13" spans="1:3" ht="18" x14ac:dyDescent="0.35">
      <c r="A13" s="77" t="s">
        <v>126</v>
      </c>
      <c r="B13" s="76">
        <v>250</v>
      </c>
      <c r="C13" s="77" t="s">
        <v>127</v>
      </c>
    </row>
    <row r="14" spans="1:3" ht="18" x14ac:dyDescent="0.35">
      <c r="A14" s="77" t="s">
        <v>128</v>
      </c>
      <c r="B14" s="76">
        <v>350</v>
      </c>
      <c r="C14" s="77" t="s">
        <v>150</v>
      </c>
    </row>
    <row r="15" spans="1:3" ht="18" x14ac:dyDescent="0.35">
      <c r="A15" s="77" t="s">
        <v>14</v>
      </c>
      <c r="B15" s="76">
        <v>100</v>
      </c>
      <c r="C15" s="77" t="s">
        <v>130</v>
      </c>
    </row>
    <row r="16" spans="1:3" ht="18" x14ac:dyDescent="0.35">
      <c r="A16" s="77" t="s">
        <v>151</v>
      </c>
      <c r="B16" s="76">
        <v>500</v>
      </c>
      <c r="C16" s="77" t="s">
        <v>130</v>
      </c>
    </row>
    <row r="17" spans="1:4" ht="18" x14ac:dyDescent="0.35">
      <c r="A17" s="77" t="s">
        <v>42</v>
      </c>
      <c r="B17" s="76">
        <f>5*57</f>
        <v>285</v>
      </c>
      <c r="C17" s="77" t="s">
        <v>152</v>
      </c>
    </row>
    <row r="18" spans="1:4" ht="18" x14ac:dyDescent="0.35">
      <c r="A18" s="77" t="s">
        <v>153</v>
      </c>
      <c r="B18" s="76">
        <v>600</v>
      </c>
      <c r="C18" s="77" t="s">
        <v>131</v>
      </c>
    </row>
    <row r="19" spans="1:4" ht="18" x14ac:dyDescent="0.35">
      <c r="A19" s="77" t="s">
        <v>135</v>
      </c>
      <c r="B19" s="76">
        <v>600</v>
      </c>
      <c r="C19" s="77" t="s">
        <v>137</v>
      </c>
    </row>
    <row r="20" spans="1:4" ht="18" x14ac:dyDescent="0.35">
      <c r="A20" s="77" t="s">
        <v>136</v>
      </c>
      <c r="B20" s="76">
        <v>200</v>
      </c>
      <c r="C20" s="77" t="s">
        <v>154</v>
      </c>
    </row>
    <row r="21" spans="1:4" ht="18" x14ac:dyDescent="0.35">
      <c r="A21" s="77" t="s">
        <v>18</v>
      </c>
      <c r="B21" s="76">
        <v>500</v>
      </c>
      <c r="C21" s="77" t="s">
        <v>132</v>
      </c>
    </row>
    <row r="22" spans="1:4" ht="18" x14ac:dyDescent="0.35">
      <c r="A22" s="77" t="s">
        <v>138</v>
      </c>
      <c r="B22" s="76">
        <v>1500</v>
      </c>
      <c r="C22" s="77" t="s">
        <v>139</v>
      </c>
    </row>
    <row r="23" spans="1:4" ht="18" x14ac:dyDescent="0.35">
      <c r="A23" s="77" t="s">
        <v>20</v>
      </c>
      <c r="B23" s="76">
        <v>1000</v>
      </c>
      <c r="C23" s="77" t="s">
        <v>133</v>
      </c>
    </row>
    <row r="24" spans="1:4" ht="18" x14ac:dyDescent="0.35">
      <c r="A24" s="77" t="s">
        <v>22</v>
      </c>
      <c r="B24" s="76">
        <v>600</v>
      </c>
      <c r="C24" s="77" t="s">
        <v>155</v>
      </c>
    </row>
    <row r="25" spans="1:4" ht="18" x14ac:dyDescent="0.35">
      <c r="A25" s="77" t="s">
        <v>156</v>
      </c>
      <c r="B25" s="76">
        <v>370</v>
      </c>
      <c r="C25" s="77" t="s">
        <v>157</v>
      </c>
    </row>
    <row r="26" spans="1:4" ht="18" x14ac:dyDescent="0.35">
      <c r="A26" s="77" t="s">
        <v>141</v>
      </c>
      <c r="B26" s="76">
        <v>5000</v>
      </c>
      <c r="C26" s="77" t="s">
        <v>142</v>
      </c>
    </row>
    <row r="27" spans="1:4" ht="18" x14ac:dyDescent="0.35">
      <c r="A27" s="77" t="s">
        <v>143</v>
      </c>
      <c r="B27" s="76">
        <v>2500</v>
      </c>
      <c r="C27" s="77" t="s">
        <v>144</v>
      </c>
    </row>
    <row r="28" spans="1:4" ht="18" x14ac:dyDescent="0.35">
      <c r="A28" s="77"/>
      <c r="B28" s="76"/>
      <c r="C28" s="77"/>
    </row>
    <row r="29" spans="1:4" ht="15" customHeight="1" x14ac:dyDescent="0.35">
      <c r="A29" s="75" t="s">
        <v>5</v>
      </c>
      <c r="B29" s="78">
        <f>SUM(B11:B28)</f>
        <v>19655</v>
      </c>
      <c r="C29" s="77"/>
    </row>
    <row r="30" spans="1:4" ht="15" customHeight="1" x14ac:dyDescent="0.3">
      <c r="B30"/>
    </row>
    <row r="31" spans="1:4" ht="18" x14ac:dyDescent="0.35">
      <c r="A31" s="75" t="s">
        <v>123</v>
      </c>
      <c r="B31" s="76"/>
      <c r="C31" s="77"/>
    </row>
    <row r="32" spans="1:4" ht="18" x14ac:dyDescent="0.35">
      <c r="A32" s="77" t="s">
        <v>122</v>
      </c>
      <c r="B32" s="78">
        <v>2700</v>
      </c>
      <c r="C32" s="77" t="s">
        <v>145</v>
      </c>
      <c r="D32" s="91" t="s">
        <v>163</v>
      </c>
    </row>
    <row r="33" spans="1:3" x14ac:dyDescent="0.3">
      <c r="B33"/>
    </row>
    <row r="34" spans="1:3" ht="21" x14ac:dyDescent="0.4">
      <c r="A34" s="79" t="s">
        <v>146</v>
      </c>
      <c r="B34" s="80">
        <f>B7+B29+B32</f>
        <v>32255</v>
      </c>
      <c r="C34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T52"/>
  <sheetViews>
    <sheetView topLeftCell="A12" zoomScale="80" zoomScaleNormal="80" workbookViewId="0">
      <selection activeCell="N51" sqref="N51"/>
    </sheetView>
  </sheetViews>
  <sheetFormatPr defaultRowHeight="14.4" x14ac:dyDescent="0.3"/>
  <cols>
    <col min="1" max="1" width="37.109375" bestFit="1" customWidth="1"/>
    <col min="6" max="6" width="8.21875" bestFit="1" customWidth="1"/>
    <col min="8" max="11" width="9.33203125" bestFit="1" customWidth="1"/>
    <col min="14" max="14" width="11" bestFit="1" customWidth="1"/>
    <col min="15" max="15" width="35" customWidth="1"/>
    <col min="16" max="16" width="7.6640625" bestFit="1" customWidth="1"/>
    <col min="17" max="17" width="10.5546875" customWidth="1"/>
    <col min="18" max="18" width="6.109375" customWidth="1"/>
    <col min="19" max="19" width="4.88671875" style="27" bestFit="1" customWidth="1"/>
    <col min="20" max="20" width="11.6640625" style="27" bestFit="1" customWidth="1"/>
  </cols>
  <sheetData>
    <row r="1" spans="1:20" ht="13.8" customHeight="1" thickBot="1" x14ac:dyDescent="0.35">
      <c r="A1" s="66" t="s">
        <v>114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20" ht="13.8" customHeight="1" thickBot="1" x14ac:dyDescent="0.35">
      <c r="A2" s="2"/>
      <c r="D2" s="59" t="s">
        <v>100</v>
      </c>
      <c r="E2" s="60"/>
      <c r="F2" s="60"/>
      <c r="G2" s="60"/>
      <c r="H2" s="60"/>
      <c r="I2" s="60"/>
      <c r="J2" s="60"/>
      <c r="K2" s="61"/>
    </row>
    <row r="3" spans="1:20" ht="13.8" customHeight="1" x14ac:dyDescent="0.3">
      <c r="A3" s="2"/>
    </row>
    <row r="4" spans="1:20" s="2" customFormat="1" ht="15" thickBot="1" x14ac:dyDescent="0.35">
      <c r="A4" s="8" t="s">
        <v>1</v>
      </c>
      <c r="B4" s="54">
        <v>1</v>
      </c>
      <c r="C4" s="54">
        <v>2</v>
      </c>
      <c r="D4" s="54">
        <v>3</v>
      </c>
      <c r="E4" s="54">
        <v>4</v>
      </c>
      <c r="F4" s="54">
        <v>5</v>
      </c>
      <c r="G4" s="54">
        <v>6</v>
      </c>
      <c r="H4" s="54">
        <v>7</v>
      </c>
      <c r="I4" s="54">
        <v>8</v>
      </c>
      <c r="J4" s="54">
        <v>9</v>
      </c>
      <c r="K4" s="54">
        <v>10</v>
      </c>
      <c r="L4" s="54">
        <v>11</v>
      </c>
      <c r="M4" s="54">
        <v>12</v>
      </c>
      <c r="N4" s="8" t="s">
        <v>28</v>
      </c>
      <c r="O4" s="3"/>
      <c r="S4" s="31"/>
      <c r="T4" s="31"/>
    </row>
    <row r="5" spans="1:20" ht="15" thickBot="1" x14ac:dyDescent="0.35">
      <c r="A5" s="1" t="s">
        <v>105</v>
      </c>
      <c r="B5" s="4">
        <f>'Cashflow Y1'!M5</f>
        <v>5331.2183230020673</v>
      </c>
      <c r="C5" s="4">
        <f>C11-(B45+B20)</f>
        <v>6251.218323002071</v>
      </c>
      <c r="D5" s="4">
        <f>D11-(C45+C20)</f>
        <v>6251.218323002071</v>
      </c>
      <c r="E5" s="4">
        <f t="shared" ref="E5:M5" si="0">E11-(D45+D20)</f>
        <v>6251.218323002071</v>
      </c>
      <c r="F5" s="4">
        <f t="shared" si="0"/>
        <v>5331.2183230020673</v>
      </c>
      <c r="G5" s="4">
        <f t="shared" si="0"/>
        <v>5331.2183230020673</v>
      </c>
      <c r="H5" s="4">
        <f t="shared" si="0"/>
        <v>5331.2183230020673</v>
      </c>
      <c r="I5" s="4">
        <f t="shared" si="0"/>
        <v>5331.2183230020673</v>
      </c>
      <c r="J5" s="4">
        <f t="shared" si="0"/>
        <v>5331.2183230020673</v>
      </c>
      <c r="K5" s="4">
        <f t="shared" si="0"/>
        <v>5331.2183230020673</v>
      </c>
      <c r="L5" s="4">
        <f t="shared" si="0"/>
        <v>5331.2183230020673</v>
      </c>
      <c r="M5" s="4">
        <f t="shared" si="0"/>
        <v>5331.2183230020673</v>
      </c>
      <c r="N5" s="4">
        <f>SUM(B5:M5)</f>
        <v>66734.619876024823</v>
      </c>
      <c r="O5" s="1"/>
      <c r="S5" s="57" t="s">
        <v>98</v>
      </c>
      <c r="T5" s="58"/>
    </row>
    <row r="6" spans="1:20" x14ac:dyDescent="0.3">
      <c r="A6" s="3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1"/>
      <c r="P6" s="11" t="s">
        <v>46</v>
      </c>
      <c r="Q6" s="32" t="s">
        <v>47</v>
      </c>
      <c r="R6" s="35" t="s">
        <v>71</v>
      </c>
      <c r="S6" s="33" t="s">
        <v>91</v>
      </c>
      <c r="T6" s="34" t="s">
        <v>90</v>
      </c>
    </row>
    <row r="7" spans="1:20" x14ac:dyDescent="0.3">
      <c r="A7" s="1" t="s">
        <v>3</v>
      </c>
      <c r="B7" s="12">
        <f t="shared" ref="B7:D7" si="1">($P$7*$Q$7*4)</f>
        <v>3840</v>
      </c>
      <c r="C7" s="12">
        <f t="shared" si="1"/>
        <v>3840</v>
      </c>
      <c r="D7" s="12">
        <f t="shared" si="1"/>
        <v>3840</v>
      </c>
      <c r="E7" s="12">
        <f t="shared" ref="E7:M7" si="2">($P$7*$Q$7*4)</f>
        <v>3840</v>
      </c>
      <c r="F7" s="12">
        <f t="shared" si="2"/>
        <v>3840</v>
      </c>
      <c r="G7" s="12">
        <f t="shared" si="2"/>
        <v>3840</v>
      </c>
      <c r="H7" s="12">
        <f t="shared" si="2"/>
        <v>3840</v>
      </c>
      <c r="I7" s="12">
        <f t="shared" si="2"/>
        <v>3840</v>
      </c>
      <c r="J7" s="12">
        <f t="shared" si="2"/>
        <v>3840</v>
      </c>
      <c r="K7" s="12">
        <f t="shared" si="2"/>
        <v>3840</v>
      </c>
      <c r="L7" s="12">
        <f t="shared" si="2"/>
        <v>3840</v>
      </c>
      <c r="M7" s="12">
        <f t="shared" si="2"/>
        <v>3840</v>
      </c>
      <c r="N7" s="9">
        <f t="shared" ref="N7:N42" si="3">SUM(B7:M7)</f>
        <v>46080</v>
      </c>
      <c r="O7" s="1" t="s">
        <v>88</v>
      </c>
      <c r="P7" s="15">
        <f>S7*T7</f>
        <v>60</v>
      </c>
      <c r="Q7" s="36">
        <f>(Q16/(1-R7))</f>
        <v>16</v>
      </c>
      <c r="R7" s="37">
        <v>0.5</v>
      </c>
      <c r="S7" s="38">
        <v>3</v>
      </c>
      <c r="T7" s="39">
        <v>20</v>
      </c>
    </row>
    <row r="8" spans="1:20" x14ac:dyDescent="0.3">
      <c r="A8" s="1" t="s">
        <v>4</v>
      </c>
      <c r="B8" s="12">
        <f t="shared" ref="B8:D8" si="4">($P$8*$Q$8*4)</f>
        <v>15555.555555555558</v>
      </c>
      <c r="C8" s="12">
        <f t="shared" si="4"/>
        <v>15555.555555555558</v>
      </c>
      <c r="D8" s="12">
        <f t="shared" si="4"/>
        <v>15555.555555555558</v>
      </c>
      <c r="E8" s="12">
        <f t="shared" ref="E8:M8" si="5">($P$8*$Q$8*4)</f>
        <v>15555.555555555558</v>
      </c>
      <c r="F8" s="12">
        <f t="shared" si="5"/>
        <v>15555.555555555558</v>
      </c>
      <c r="G8" s="12">
        <f t="shared" si="5"/>
        <v>15555.555555555558</v>
      </c>
      <c r="H8" s="12">
        <f t="shared" si="5"/>
        <v>15555.555555555558</v>
      </c>
      <c r="I8" s="12">
        <f t="shared" si="5"/>
        <v>15555.555555555558</v>
      </c>
      <c r="J8" s="12">
        <f t="shared" si="5"/>
        <v>15555.555555555558</v>
      </c>
      <c r="K8" s="12">
        <f t="shared" si="5"/>
        <v>15555.555555555558</v>
      </c>
      <c r="L8" s="12">
        <f t="shared" si="5"/>
        <v>15555.555555555558</v>
      </c>
      <c r="M8" s="12">
        <f t="shared" si="5"/>
        <v>15555.555555555558</v>
      </c>
      <c r="N8" s="9">
        <f t="shared" si="3"/>
        <v>186666.66666666672</v>
      </c>
      <c r="O8" s="1" t="s">
        <v>88</v>
      </c>
      <c r="P8" s="15">
        <f>S8*T8</f>
        <v>700</v>
      </c>
      <c r="Q8" s="36">
        <f>(Q17/(1-R8))</f>
        <v>5.5555555555555562</v>
      </c>
      <c r="R8" s="37">
        <v>0.55000000000000004</v>
      </c>
      <c r="S8" s="38">
        <v>7</v>
      </c>
      <c r="T8" s="39">
        <v>100</v>
      </c>
    </row>
    <row r="9" spans="1:20" x14ac:dyDescent="0.3">
      <c r="A9" s="1" t="s">
        <v>93</v>
      </c>
      <c r="B9" s="12">
        <f t="shared" ref="B9:D9" si="6">($P$9*$Q$9*4)</f>
        <v>2240</v>
      </c>
      <c r="C9" s="12">
        <f t="shared" si="6"/>
        <v>2240</v>
      </c>
      <c r="D9" s="12">
        <f t="shared" si="6"/>
        <v>2240</v>
      </c>
      <c r="E9" s="12">
        <f t="shared" ref="E9:M9" si="7">($P$9*$Q$9*4)</f>
        <v>2240</v>
      </c>
      <c r="F9" s="12">
        <f t="shared" si="7"/>
        <v>2240</v>
      </c>
      <c r="G9" s="12">
        <f t="shared" si="7"/>
        <v>2240</v>
      </c>
      <c r="H9" s="12">
        <f t="shared" si="7"/>
        <v>2240</v>
      </c>
      <c r="I9" s="12">
        <f t="shared" si="7"/>
        <v>2240</v>
      </c>
      <c r="J9" s="12">
        <f t="shared" si="7"/>
        <v>2240</v>
      </c>
      <c r="K9" s="12">
        <f t="shared" si="7"/>
        <v>2240</v>
      </c>
      <c r="L9" s="12">
        <f t="shared" si="7"/>
        <v>2240</v>
      </c>
      <c r="M9" s="12">
        <f t="shared" si="7"/>
        <v>2240</v>
      </c>
      <c r="N9" s="9">
        <f t="shared" si="3"/>
        <v>26880</v>
      </c>
      <c r="O9" s="1" t="s">
        <v>88</v>
      </c>
      <c r="P9" s="15">
        <f>S9*T9</f>
        <v>140</v>
      </c>
      <c r="Q9" s="36">
        <f>(Q18/(1-R9))</f>
        <v>4</v>
      </c>
      <c r="R9" s="37">
        <v>0.75</v>
      </c>
      <c r="S9" s="38">
        <v>7</v>
      </c>
      <c r="T9" s="39">
        <v>20</v>
      </c>
    </row>
    <row r="10" spans="1:20" ht="15" thickBot="1" x14ac:dyDescent="0.35">
      <c r="A10" s="1" t="s">
        <v>86</v>
      </c>
      <c r="B10" s="12">
        <f t="shared" ref="B10:D10" si="8">($P$10*$Q$10*4)</f>
        <v>2519.4961007798447</v>
      </c>
      <c r="C10" s="12">
        <f t="shared" si="8"/>
        <v>2519.4961007798447</v>
      </c>
      <c r="D10" s="12">
        <f t="shared" si="8"/>
        <v>2519.4961007798447</v>
      </c>
      <c r="E10" s="12">
        <f t="shared" ref="E10:M10" si="9">($P$10*$Q$10*4)</f>
        <v>2519.4961007798447</v>
      </c>
      <c r="F10" s="12">
        <f t="shared" si="9"/>
        <v>2519.4961007798447</v>
      </c>
      <c r="G10" s="12">
        <f t="shared" si="9"/>
        <v>2519.4961007798447</v>
      </c>
      <c r="H10" s="12">
        <f t="shared" si="9"/>
        <v>2519.4961007798447</v>
      </c>
      <c r="I10" s="12">
        <f t="shared" si="9"/>
        <v>2519.4961007798447</v>
      </c>
      <c r="J10" s="12">
        <f t="shared" si="9"/>
        <v>2519.4961007798447</v>
      </c>
      <c r="K10" s="12">
        <f t="shared" si="9"/>
        <v>2519.4961007798447</v>
      </c>
      <c r="L10" s="12">
        <f t="shared" si="9"/>
        <v>2519.4961007798447</v>
      </c>
      <c r="M10" s="12">
        <f t="shared" si="9"/>
        <v>2519.4961007798447</v>
      </c>
      <c r="N10" s="9">
        <f t="shared" si="3"/>
        <v>30233.953209358137</v>
      </c>
      <c r="O10" s="1" t="s">
        <v>89</v>
      </c>
      <c r="P10" s="15">
        <f>S10*T10</f>
        <v>210</v>
      </c>
      <c r="Q10" s="36">
        <f>(Q19/(1-R10))</f>
        <v>2.9994001199760056</v>
      </c>
      <c r="R10" s="40">
        <v>0.83330000000000004</v>
      </c>
      <c r="S10" s="41">
        <v>7</v>
      </c>
      <c r="T10" s="42">
        <v>30</v>
      </c>
    </row>
    <row r="11" spans="1:20" x14ac:dyDescent="0.3">
      <c r="A11" s="24" t="s">
        <v>5</v>
      </c>
      <c r="B11" s="25">
        <f t="shared" ref="B11:D11" si="10">SUM(B7:B10)</f>
        <v>24155.051656335403</v>
      </c>
      <c r="C11" s="25">
        <f t="shared" si="10"/>
        <v>24155.051656335403</v>
      </c>
      <c r="D11" s="25">
        <f t="shared" si="10"/>
        <v>24155.051656335403</v>
      </c>
      <c r="E11" s="25">
        <f t="shared" ref="E11:M11" si="11">SUM(E7:E10)</f>
        <v>24155.051656335403</v>
      </c>
      <c r="F11" s="25">
        <f t="shared" si="11"/>
        <v>24155.051656335403</v>
      </c>
      <c r="G11" s="25">
        <f t="shared" si="11"/>
        <v>24155.051656335403</v>
      </c>
      <c r="H11" s="25">
        <f t="shared" si="11"/>
        <v>24155.051656335403</v>
      </c>
      <c r="I11" s="25">
        <f t="shared" si="11"/>
        <v>24155.051656335403</v>
      </c>
      <c r="J11" s="25">
        <f t="shared" si="11"/>
        <v>24155.051656335403</v>
      </c>
      <c r="K11" s="25">
        <f t="shared" si="11"/>
        <v>24155.051656335403</v>
      </c>
      <c r="L11" s="25">
        <f t="shared" si="11"/>
        <v>24155.051656335403</v>
      </c>
      <c r="M11" s="25">
        <f t="shared" si="11"/>
        <v>24155.051656335403</v>
      </c>
      <c r="N11" s="25">
        <f>SUM(N7:N10)</f>
        <v>289860.61987602484</v>
      </c>
      <c r="O11" s="24" t="s">
        <v>74</v>
      </c>
    </row>
    <row r="12" spans="1:20" ht="13.8" customHeight="1" x14ac:dyDescent="0.3">
      <c r="A12" s="1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9"/>
      <c r="O12" s="1"/>
    </row>
    <row r="13" spans="1:20" ht="13.8" customHeight="1" x14ac:dyDescent="0.3">
      <c r="A13" s="22" t="s">
        <v>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20"/>
      <c r="O13" s="21"/>
    </row>
    <row r="14" spans="1:20" ht="13.8" customHeight="1" x14ac:dyDescent="0.3">
      <c r="A14" s="48" t="s">
        <v>7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</row>
    <row r="15" spans="1:20" ht="13.8" customHeight="1" x14ac:dyDescent="0.3">
      <c r="A15" s="5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P15" t="s">
        <v>46</v>
      </c>
      <c r="Q15" t="s">
        <v>48</v>
      </c>
    </row>
    <row r="16" spans="1:20" x14ac:dyDescent="0.3">
      <c r="A16" s="1" t="s">
        <v>8</v>
      </c>
      <c r="B16" s="12">
        <f t="shared" ref="B16:D16" si="12">($P$16*$Q$16)*4</f>
        <v>1920</v>
      </c>
      <c r="C16" s="12">
        <f t="shared" si="12"/>
        <v>1920</v>
      </c>
      <c r="D16" s="12">
        <f t="shared" si="12"/>
        <v>1920</v>
      </c>
      <c r="E16" s="12">
        <f t="shared" ref="E16:M16" si="13">($P$16*$Q$16)*4</f>
        <v>1920</v>
      </c>
      <c r="F16" s="12">
        <f t="shared" si="13"/>
        <v>1920</v>
      </c>
      <c r="G16" s="12">
        <f t="shared" si="13"/>
        <v>1920</v>
      </c>
      <c r="H16" s="12">
        <f t="shared" si="13"/>
        <v>1920</v>
      </c>
      <c r="I16" s="12">
        <f t="shared" si="13"/>
        <v>1920</v>
      </c>
      <c r="J16" s="12">
        <f t="shared" si="13"/>
        <v>1920</v>
      </c>
      <c r="K16" s="12">
        <f t="shared" si="13"/>
        <v>1920</v>
      </c>
      <c r="L16" s="12">
        <f t="shared" si="13"/>
        <v>1920</v>
      </c>
      <c r="M16" s="12">
        <f t="shared" si="13"/>
        <v>1920</v>
      </c>
      <c r="N16" s="9">
        <f t="shared" si="3"/>
        <v>23040</v>
      </c>
      <c r="O16" s="1" t="s">
        <v>95</v>
      </c>
      <c r="P16" s="15">
        <f>P7</f>
        <v>60</v>
      </c>
      <c r="Q16" s="43">
        <v>8</v>
      </c>
    </row>
    <row r="17" spans="1:18" x14ac:dyDescent="0.3">
      <c r="A17" s="1" t="s">
        <v>45</v>
      </c>
      <c r="B17" s="12">
        <f t="shared" ref="B17:D17" si="14">($P$17*$Q$17)*4</f>
        <v>7000</v>
      </c>
      <c r="C17" s="12">
        <f t="shared" si="14"/>
        <v>7000</v>
      </c>
      <c r="D17" s="12">
        <f t="shared" si="14"/>
        <v>7000</v>
      </c>
      <c r="E17" s="12">
        <f t="shared" ref="E17:M17" si="15">($P$17*$Q$17)*4</f>
        <v>7000</v>
      </c>
      <c r="F17" s="12">
        <f t="shared" si="15"/>
        <v>7000</v>
      </c>
      <c r="G17" s="12">
        <f t="shared" si="15"/>
        <v>7000</v>
      </c>
      <c r="H17" s="12">
        <f t="shared" si="15"/>
        <v>7000</v>
      </c>
      <c r="I17" s="12">
        <f t="shared" si="15"/>
        <v>7000</v>
      </c>
      <c r="J17" s="12">
        <f t="shared" si="15"/>
        <v>7000</v>
      </c>
      <c r="K17" s="12">
        <f t="shared" si="15"/>
        <v>7000</v>
      </c>
      <c r="L17" s="12">
        <f t="shared" si="15"/>
        <v>7000</v>
      </c>
      <c r="M17" s="12">
        <f t="shared" si="15"/>
        <v>7000</v>
      </c>
      <c r="N17" s="9">
        <f t="shared" si="3"/>
        <v>84000</v>
      </c>
      <c r="O17" s="1" t="s">
        <v>96</v>
      </c>
      <c r="P17" s="15">
        <f>P8</f>
        <v>700</v>
      </c>
      <c r="Q17" s="43">
        <v>2.5</v>
      </c>
    </row>
    <row r="18" spans="1:18" x14ac:dyDescent="0.3">
      <c r="A18" s="1" t="s">
        <v>94</v>
      </c>
      <c r="B18" s="12">
        <f t="shared" ref="B18:D18" si="16">($P$18*$Q$18)*4</f>
        <v>560</v>
      </c>
      <c r="C18" s="12">
        <f t="shared" si="16"/>
        <v>560</v>
      </c>
      <c r="D18" s="12">
        <f t="shared" si="16"/>
        <v>560</v>
      </c>
      <c r="E18" s="12">
        <f t="shared" ref="E18:M18" si="17">($P$18*$Q$18)*4</f>
        <v>560</v>
      </c>
      <c r="F18" s="12">
        <f t="shared" si="17"/>
        <v>560</v>
      </c>
      <c r="G18" s="12">
        <f t="shared" si="17"/>
        <v>560</v>
      </c>
      <c r="H18" s="12">
        <f t="shared" si="17"/>
        <v>560</v>
      </c>
      <c r="I18" s="12">
        <f t="shared" si="17"/>
        <v>560</v>
      </c>
      <c r="J18" s="12">
        <f t="shared" si="17"/>
        <v>560</v>
      </c>
      <c r="K18" s="12">
        <f t="shared" si="17"/>
        <v>560</v>
      </c>
      <c r="L18" s="12">
        <f t="shared" si="17"/>
        <v>560</v>
      </c>
      <c r="M18" s="12">
        <f t="shared" si="17"/>
        <v>560</v>
      </c>
      <c r="N18" s="9">
        <f t="shared" si="3"/>
        <v>6720</v>
      </c>
      <c r="O18" s="1" t="s">
        <v>97</v>
      </c>
      <c r="P18" s="15">
        <f>P9</f>
        <v>140</v>
      </c>
      <c r="Q18" s="43">
        <v>1</v>
      </c>
    </row>
    <row r="19" spans="1:18" x14ac:dyDescent="0.3">
      <c r="A19" s="1" t="s">
        <v>87</v>
      </c>
      <c r="B19" s="12">
        <f t="shared" ref="B19:D19" si="18">($P$19*$Q$19)*4</f>
        <v>420</v>
      </c>
      <c r="C19" s="12">
        <f t="shared" si="18"/>
        <v>420</v>
      </c>
      <c r="D19" s="12">
        <f t="shared" si="18"/>
        <v>420</v>
      </c>
      <c r="E19" s="12">
        <f t="shared" ref="E19:M19" si="19">($P$19*$Q$19)*4</f>
        <v>420</v>
      </c>
      <c r="F19" s="12">
        <f t="shared" si="19"/>
        <v>420</v>
      </c>
      <c r="G19" s="12">
        <f t="shared" si="19"/>
        <v>420</v>
      </c>
      <c r="H19" s="12">
        <f t="shared" si="19"/>
        <v>420</v>
      </c>
      <c r="I19" s="12">
        <f t="shared" si="19"/>
        <v>420</v>
      </c>
      <c r="J19" s="12">
        <f t="shared" si="19"/>
        <v>420</v>
      </c>
      <c r="K19" s="12">
        <f t="shared" si="19"/>
        <v>420</v>
      </c>
      <c r="L19" s="12">
        <f t="shared" si="19"/>
        <v>420</v>
      </c>
      <c r="M19" s="12">
        <f t="shared" si="19"/>
        <v>420</v>
      </c>
      <c r="N19" s="9">
        <f t="shared" si="3"/>
        <v>5040</v>
      </c>
      <c r="O19" s="1" t="s">
        <v>92</v>
      </c>
      <c r="P19" s="15">
        <f>P10</f>
        <v>210</v>
      </c>
      <c r="Q19" s="43">
        <v>0.5</v>
      </c>
    </row>
    <row r="20" spans="1:18" x14ac:dyDescent="0.3">
      <c r="A20" s="48" t="s">
        <v>102</v>
      </c>
      <c r="B20" s="50">
        <f t="shared" ref="B20:M20" si="20">SUM(B16:B19)</f>
        <v>9900</v>
      </c>
      <c r="C20" s="50">
        <f t="shared" si="20"/>
        <v>9900</v>
      </c>
      <c r="D20" s="50">
        <f t="shared" si="20"/>
        <v>9900</v>
      </c>
      <c r="E20" s="50">
        <f t="shared" si="20"/>
        <v>9900</v>
      </c>
      <c r="F20" s="50">
        <f t="shared" si="20"/>
        <v>9900</v>
      </c>
      <c r="G20" s="50">
        <f t="shared" si="20"/>
        <v>9900</v>
      </c>
      <c r="H20" s="50">
        <f t="shared" si="20"/>
        <v>9900</v>
      </c>
      <c r="I20" s="50">
        <f t="shared" si="20"/>
        <v>9900</v>
      </c>
      <c r="J20" s="50">
        <f t="shared" si="20"/>
        <v>9900</v>
      </c>
      <c r="K20" s="50">
        <f t="shared" si="20"/>
        <v>9900</v>
      </c>
      <c r="L20" s="50">
        <f t="shared" si="20"/>
        <v>9900</v>
      </c>
      <c r="M20" s="50">
        <f t="shared" si="20"/>
        <v>9900</v>
      </c>
      <c r="N20" s="50">
        <f>SUM(N16:N19)</f>
        <v>118800</v>
      </c>
      <c r="O20" s="48" t="s">
        <v>75</v>
      </c>
      <c r="R20" s="7"/>
    </row>
    <row r="21" spans="1:18" x14ac:dyDescent="0.3">
      <c r="R21" s="7"/>
    </row>
    <row r="22" spans="1:18" x14ac:dyDescent="0.3">
      <c r="A22" s="24" t="s">
        <v>72</v>
      </c>
      <c r="B22" s="26">
        <f t="shared" ref="B22:N22" si="21">B11-B20</f>
        <v>14255.051656335403</v>
      </c>
      <c r="C22" s="26">
        <f t="shared" si="21"/>
        <v>14255.051656335403</v>
      </c>
      <c r="D22" s="26">
        <f t="shared" si="21"/>
        <v>14255.051656335403</v>
      </c>
      <c r="E22" s="26">
        <f t="shared" si="21"/>
        <v>14255.051656335403</v>
      </c>
      <c r="F22" s="26">
        <f t="shared" si="21"/>
        <v>14255.051656335403</v>
      </c>
      <c r="G22" s="26">
        <f t="shared" si="21"/>
        <v>14255.051656335403</v>
      </c>
      <c r="H22" s="26">
        <f t="shared" si="21"/>
        <v>14255.051656335403</v>
      </c>
      <c r="I22" s="26">
        <f t="shared" si="21"/>
        <v>14255.051656335403</v>
      </c>
      <c r="J22" s="26">
        <f t="shared" si="21"/>
        <v>14255.051656335403</v>
      </c>
      <c r="K22" s="26">
        <f t="shared" si="21"/>
        <v>14255.051656335403</v>
      </c>
      <c r="L22" s="26">
        <f t="shared" si="21"/>
        <v>14255.051656335403</v>
      </c>
      <c r="M22" s="26">
        <f t="shared" si="21"/>
        <v>14255.051656335403</v>
      </c>
      <c r="N22" s="26">
        <f t="shared" si="21"/>
        <v>171060.61987602484</v>
      </c>
      <c r="O22" s="24" t="s">
        <v>63</v>
      </c>
      <c r="R22" s="7"/>
    </row>
    <row r="23" spans="1:18" ht="13.8" customHeight="1" x14ac:dyDescent="0.3">
      <c r="A23" s="23"/>
    </row>
    <row r="24" spans="1:18" x14ac:dyDescent="0.3">
      <c r="A24" s="48" t="s">
        <v>9</v>
      </c>
      <c r="B24" s="49">
        <f t="shared" ref="B24:D24" si="22">40000/12*1.5</f>
        <v>5000</v>
      </c>
      <c r="C24" s="49">
        <f t="shared" si="22"/>
        <v>5000</v>
      </c>
      <c r="D24" s="49">
        <f t="shared" si="22"/>
        <v>5000</v>
      </c>
      <c r="E24" s="49">
        <f>40000/12*1.5</f>
        <v>5000</v>
      </c>
      <c r="F24" s="49">
        <f t="shared" ref="F24:M24" si="23">40000/12*1.5</f>
        <v>5000</v>
      </c>
      <c r="G24" s="49">
        <f t="shared" si="23"/>
        <v>5000</v>
      </c>
      <c r="H24" s="49">
        <f t="shared" si="23"/>
        <v>5000</v>
      </c>
      <c r="I24" s="49">
        <f t="shared" si="23"/>
        <v>5000</v>
      </c>
      <c r="J24" s="49">
        <f t="shared" si="23"/>
        <v>5000</v>
      </c>
      <c r="K24" s="49">
        <f t="shared" si="23"/>
        <v>5000</v>
      </c>
      <c r="L24" s="49">
        <f t="shared" si="23"/>
        <v>5000</v>
      </c>
      <c r="M24" s="49">
        <f t="shared" si="23"/>
        <v>5000</v>
      </c>
      <c r="N24" s="50">
        <f>SUM(B24:M24)</f>
        <v>60000</v>
      </c>
      <c r="O24" s="48" t="s">
        <v>76</v>
      </c>
      <c r="P24" t="s">
        <v>113</v>
      </c>
      <c r="Q24" s="7"/>
    </row>
    <row r="26" spans="1:18" x14ac:dyDescent="0.3">
      <c r="A26" s="1" t="s">
        <v>10</v>
      </c>
      <c r="B26" s="44">
        <v>200</v>
      </c>
      <c r="C26" s="44">
        <v>200</v>
      </c>
      <c r="D26" s="44">
        <v>200</v>
      </c>
      <c r="E26" s="44">
        <v>1000</v>
      </c>
      <c r="F26" s="44">
        <v>1000</v>
      </c>
      <c r="G26" s="44">
        <v>1000</v>
      </c>
      <c r="H26" s="44">
        <v>1000</v>
      </c>
      <c r="I26" s="44">
        <v>1000</v>
      </c>
      <c r="J26" s="44">
        <v>1000</v>
      </c>
      <c r="K26" s="44">
        <v>1000</v>
      </c>
      <c r="L26" s="44">
        <v>1000</v>
      </c>
      <c r="M26" s="44">
        <v>1000</v>
      </c>
      <c r="N26" s="9">
        <f t="shared" si="3"/>
        <v>9600</v>
      </c>
      <c r="O26" s="1" t="s">
        <v>32</v>
      </c>
    </row>
    <row r="27" spans="1:18" x14ac:dyDescent="0.3">
      <c r="A27" s="1" t="s">
        <v>11</v>
      </c>
      <c r="B27" s="44">
        <v>20</v>
      </c>
      <c r="C27" s="44">
        <v>20</v>
      </c>
      <c r="D27" s="44">
        <v>20</v>
      </c>
      <c r="E27" s="44">
        <v>20</v>
      </c>
      <c r="F27" s="44">
        <v>20</v>
      </c>
      <c r="G27" s="44">
        <v>20</v>
      </c>
      <c r="H27" s="44">
        <v>20</v>
      </c>
      <c r="I27" s="44">
        <v>20</v>
      </c>
      <c r="J27" s="44">
        <v>20</v>
      </c>
      <c r="K27" s="44">
        <v>20</v>
      </c>
      <c r="L27" s="44">
        <v>20</v>
      </c>
      <c r="M27" s="44">
        <v>20</v>
      </c>
      <c r="N27" s="9">
        <f t="shared" si="3"/>
        <v>240</v>
      </c>
      <c r="O27" s="1" t="s">
        <v>30</v>
      </c>
    </row>
    <row r="28" spans="1:18" x14ac:dyDescent="0.3">
      <c r="A28" s="1" t="s">
        <v>12</v>
      </c>
      <c r="B28" s="44">
        <v>20</v>
      </c>
      <c r="C28" s="44">
        <v>20</v>
      </c>
      <c r="D28" s="44">
        <v>20</v>
      </c>
      <c r="E28" s="44">
        <v>20</v>
      </c>
      <c r="F28" s="44">
        <v>20</v>
      </c>
      <c r="G28" s="44">
        <v>20</v>
      </c>
      <c r="H28" s="44">
        <v>20</v>
      </c>
      <c r="I28" s="44">
        <v>20</v>
      </c>
      <c r="J28" s="44">
        <v>20</v>
      </c>
      <c r="K28" s="44">
        <v>20</v>
      </c>
      <c r="L28" s="44">
        <v>20</v>
      </c>
      <c r="M28" s="44">
        <v>20</v>
      </c>
      <c r="N28" s="9">
        <f t="shared" si="3"/>
        <v>240</v>
      </c>
      <c r="O28" s="1" t="s">
        <v>31</v>
      </c>
    </row>
    <row r="29" spans="1:18" x14ac:dyDescent="0.3">
      <c r="A29" s="1" t="s">
        <v>13</v>
      </c>
      <c r="B29" s="44">
        <v>40</v>
      </c>
      <c r="C29" s="44">
        <v>40</v>
      </c>
      <c r="D29" s="44">
        <v>40</v>
      </c>
      <c r="E29" s="44">
        <v>40</v>
      </c>
      <c r="F29" s="44">
        <v>40</v>
      </c>
      <c r="G29" s="44">
        <v>40</v>
      </c>
      <c r="H29" s="44">
        <v>40</v>
      </c>
      <c r="I29" s="44">
        <v>40</v>
      </c>
      <c r="J29" s="44">
        <v>40</v>
      </c>
      <c r="K29" s="44">
        <v>40</v>
      </c>
      <c r="L29" s="44">
        <v>40</v>
      </c>
      <c r="M29" s="44">
        <v>40</v>
      </c>
      <c r="N29" s="9">
        <f t="shared" si="3"/>
        <v>480</v>
      </c>
      <c r="O29" s="1" t="s">
        <v>33</v>
      </c>
    </row>
    <row r="30" spans="1:18" x14ac:dyDescent="0.3">
      <c r="A30" s="1" t="s">
        <v>14</v>
      </c>
      <c r="B30" s="44">
        <v>100</v>
      </c>
      <c r="C30" s="44">
        <v>100</v>
      </c>
      <c r="D30" s="44">
        <v>100</v>
      </c>
      <c r="E30" s="44">
        <v>100</v>
      </c>
      <c r="F30" s="44">
        <v>100</v>
      </c>
      <c r="G30" s="44">
        <v>100</v>
      </c>
      <c r="H30" s="44">
        <v>100</v>
      </c>
      <c r="I30" s="44">
        <v>100</v>
      </c>
      <c r="J30" s="44">
        <v>100</v>
      </c>
      <c r="K30" s="44">
        <v>100</v>
      </c>
      <c r="L30" s="44">
        <v>100</v>
      </c>
      <c r="M30" s="44">
        <v>100</v>
      </c>
      <c r="N30" s="9">
        <f t="shared" si="3"/>
        <v>1200</v>
      </c>
      <c r="O30" s="1" t="s">
        <v>39</v>
      </c>
    </row>
    <row r="31" spans="1:18" x14ac:dyDescent="0.3">
      <c r="A31" s="1" t="s">
        <v>15</v>
      </c>
      <c r="B31" s="44">
        <v>100</v>
      </c>
      <c r="C31" s="44">
        <v>100</v>
      </c>
      <c r="D31" s="44">
        <v>100</v>
      </c>
      <c r="E31" s="44">
        <v>100</v>
      </c>
      <c r="F31" s="44">
        <v>100</v>
      </c>
      <c r="G31" s="44">
        <v>100</v>
      </c>
      <c r="H31" s="44">
        <v>100</v>
      </c>
      <c r="I31" s="44">
        <v>100</v>
      </c>
      <c r="J31" s="44">
        <v>100</v>
      </c>
      <c r="K31" s="44">
        <v>100</v>
      </c>
      <c r="L31" s="44">
        <v>100</v>
      </c>
      <c r="M31" s="44">
        <v>100</v>
      </c>
      <c r="N31" s="9">
        <f t="shared" si="3"/>
        <v>1200</v>
      </c>
      <c r="O31" s="1" t="s">
        <v>34</v>
      </c>
    </row>
    <row r="32" spans="1:18" x14ac:dyDescent="0.3">
      <c r="A32" s="1" t="s">
        <v>42</v>
      </c>
      <c r="B32" s="44">
        <f t="shared" ref="B32:D32" si="24">4*57</f>
        <v>228</v>
      </c>
      <c r="C32" s="44">
        <f t="shared" si="24"/>
        <v>228</v>
      </c>
      <c r="D32" s="44">
        <f t="shared" si="24"/>
        <v>228</v>
      </c>
      <c r="E32" s="44">
        <f t="shared" ref="E32:M32" si="25">4*57</f>
        <v>228</v>
      </c>
      <c r="F32" s="44">
        <f t="shared" si="25"/>
        <v>228</v>
      </c>
      <c r="G32" s="44">
        <f t="shared" si="25"/>
        <v>228</v>
      </c>
      <c r="H32" s="44">
        <f t="shared" si="25"/>
        <v>228</v>
      </c>
      <c r="I32" s="44">
        <f t="shared" si="25"/>
        <v>228</v>
      </c>
      <c r="J32" s="44">
        <f t="shared" si="25"/>
        <v>228</v>
      </c>
      <c r="K32" s="44">
        <f t="shared" si="25"/>
        <v>228</v>
      </c>
      <c r="L32" s="44">
        <f t="shared" si="25"/>
        <v>228</v>
      </c>
      <c r="M32" s="44">
        <f t="shared" si="25"/>
        <v>228</v>
      </c>
      <c r="N32" s="9">
        <f t="shared" si="3"/>
        <v>2736</v>
      </c>
      <c r="O32" s="1" t="s">
        <v>84</v>
      </c>
    </row>
    <row r="33" spans="1:16" x14ac:dyDescent="0.3">
      <c r="A33" s="1" t="s">
        <v>16</v>
      </c>
      <c r="B33" s="44">
        <v>210</v>
      </c>
      <c r="C33" s="44">
        <v>210</v>
      </c>
      <c r="D33" s="44">
        <v>210</v>
      </c>
      <c r="E33" s="44">
        <v>210</v>
      </c>
      <c r="F33" s="44">
        <v>210</v>
      </c>
      <c r="G33" s="44">
        <v>210</v>
      </c>
      <c r="H33" s="44">
        <v>210</v>
      </c>
      <c r="I33" s="44">
        <v>210</v>
      </c>
      <c r="J33" s="44">
        <v>210</v>
      </c>
      <c r="K33" s="44">
        <v>210</v>
      </c>
      <c r="L33" s="44">
        <v>210</v>
      </c>
      <c r="M33" s="44">
        <v>210</v>
      </c>
      <c r="N33" s="9">
        <f t="shared" si="3"/>
        <v>2520</v>
      </c>
      <c r="O33" s="1" t="s">
        <v>35</v>
      </c>
    </row>
    <row r="34" spans="1:16" x14ac:dyDescent="0.3">
      <c r="A34" s="1" t="s">
        <v>17</v>
      </c>
      <c r="B34" s="44">
        <v>100</v>
      </c>
      <c r="C34" s="44">
        <v>100</v>
      </c>
      <c r="D34" s="44">
        <v>100</v>
      </c>
      <c r="E34" s="44">
        <v>100</v>
      </c>
      <c r="F34" s="44">
        <v>100</v>
      </c>
      <c r="G34" s="44">
        <v>100</v>
      </c>
      <c r="H34" s="44">
        <v>100</v>
      </c>
      <c r="I34" s="44">
        <v>100</v>
      </c>
      <c r="J34" s="44">
        <v>100</v>
      </c>
      <c r="K34" s="44">
        <v>100</v>
      </c>
      <c r="L34" s="44">
        <v>100</v>
      </c>
      <c r="M34" s="44">
        <v>100</v>
      </c>
      <c r="N34" s="9">
        <f t="shared" si="3"/>
        <v>1200</v>
      </c>
      <c r="O34" s="1" t="s">
        <v>41</v>
      </c>
    </row>
    <row r="35" spans="1:16" x14ac:dyDescent="0.3">
      <c r="A35" s="1" t="s">
        <v>18</v>
      </c>
      <c r="B35" s="44">
        <v>80</v>
      </c>
      <c r="C35" s="44">
        <v>80</v>
      </c>
      <c r="D35" s="44">
        <v>80</v>
      </c>
      <c r="E35" s="44">
        <v>200</v>
      </c>
      <c r="F35" s="44">
        <v>200</v>
      </c>
      <c r="G35" s="44">
        <v>200</v>
      </c>
      <c r="H35" s="44">
        <v>200</v>
      </c>
      <c r="I35" s="44">
        <v>200</v>
      </c>
      <c r="J35" s="44">
        <v>200</v>
      </c>
      <c r="K35" s="44">
        <v>200</v>
      </c>
      <c r="L35" s="44">
        <v>200</v>
      </c>
      <c r="M35" s="44">
        <v>200</v>
      </c>
      <c r="N35" s="9">
        <f t="shared" si="3"/>
        <v>2040</v>
      </c>
      <c r="O35" s="1" t="s">
        <v>36</v>
      </c>
    </row>
    <row r="36" spans="1:16" x14ac:dyDescent="0.3">
      <c r="A36" s="1" t="s">
        <v>19</v>
      </c>
      <c r="B36" s="44">
        <v>50</v>
      </c>
      <c r="C36" s="44">
        <v>50</v>
      </c>
      <c r="D36" s="44">
        <v>50</v>
      </c>
      <c r="E36" s="44">
        <v>50</v>
      </c>
      <c r="F36" s="44">
        <v>50</v>
      </c>
      <c r="G36" s="44">
        <v>50</v>
      </c>
      <c r="H36" s="44">
        <v>50</v>
      </c>
      <c r="I36" s="44">
        <v>50</v>
      </c>
      <c r="J36" s="44">
        <v>50</v>
      </c>
      <c r="K36" s="44">
        <v>50</v>
      </c>
      <c r="L36" s="44">
        <v>50</v>
      </c>
      <c r="M36" s="44">
        <v>50</v>
      </c>
      <c r="N36" s="9">
        <f t="shared" si="3"/>
        <v>600</v>
      </c>
      <c r="O36" s="1" t="s">
        <v>43</v>
      </c>
    </row>
    <row r="37" spans="1:16" x14ac:dyDescent="0.3">
      <c r="A37" s="1" t="s">
        <v>20</v>
      </c>
      <c r="B37" s="44">
        <v>400</v>
      </c>
      <c r="C37" s="44">
        <v>400</v>
      </c>
      <c r="D37" s="44">
        <v>400</v>
      </c>
      <c r="E37" s="44">
        <v>400</v>
      </c>
      <c r="F37" s="44">
        <v>400</v>
      </c>
      <c r="G37" s="44">
        <v>400</v>
      </c>
      <c r="H37" s="44">
        <v>400</v>
      </c>
      <c r="I37" s="44">
        <v>400</v>
      </c>
      <c r="J37" s="44">
        <v>400</v>
      </c>
      <c r="K37" s="44">
        <v>400</v>
      </c>
      <c r="L37" s="44">
        <v>400</v>
      </c>
      <c r="M37" s="44">
        <v>400</v>
      </c>
      <c r="N37" s="9">
        <f t="shared" si="3"/>
        <v>4800</v>
      </c>
      <c r="O37" s="1" t="s">
        <v>37</v>
      </c>
    </row>
    <row r="38" spans="1:16" x14ac:dyDescent="0.3">
      <c r="A38" s="1" t="s">
        <v>29</v>
      </c>
      <c r="B38" s="44">
        <v>100</v>
      </c>
      <c r="C38" s="44">
        <v>100</v>
      </c>
      <c r="D38" s="44">
        <v>100</v>
      </c>
      <c r="E38" s="44">
        <v>100</v>
      </c>
      <c r="F38" s="44">
        <v>100</v>
      </c>
      <c r="G38" s="44">
        <v>100</v>
      </c>
      <c r="H38" s="44">
        <v>100</v>
      </c>
      <c r="I38" s="44">
        <v>100</v>
      </c>
      <c r="J38" s="44">
        <v>100</v>
      </c>
      <c r="K38" s="44">
        <v>100</v>
      </c>
      <c r="L38" s="44">
        <v>100</v>
      </c>
      <c r="M38" s="44">
        <v>100</v>
      </c>
      <c r="N38" s="9">
        <f t="shared" si="3"/>
        <v>1200</v>
      </c>
      <c r="O38" s="1" t="s">
        <v>40</v>
      </c>
    </row>
    <row r="39" spans="1:16" x14ac:dyDescent="0.3">
      <c r="A39" s="1" t="s">
        <v>21</v>
      </c>
      <c r="B39" s="44">
        <v>125</v>
      </c>
      <c r="C39" s="44">
        <v>125</v>
      </c>
      <c r="D39" s="44">
        <v>125</v>
      </c>
      <c r="E39" s="44">
        <v>125</v>
      </c>
      <c r="F39" s="44">
        <v>125</v>
      </c>
      <c r="G39" s="44">
        <v>125</v>
      </c>
      <c r="H39" s="44">
        <v>125</v>
      </c>
      <c r="I39" s="44">
        <v>125</v>
      </c>
      <c r="J39" s="44">
        <v>125</v>
      </c>
      <c r="K39" s="44">
        <v>125</v>
      </c>
      <c r="L39" s="44">
        <v>125</v>
      </c>
      <c r="M39" s="44">
        <v>125</v>
      </c>
      <c r="N39" s="9">
        <f t="shared" si="3"/>
        <v>1500</v>
      </c>
      <c r="O39" s="1" t="s">
        <v>38</v>
      </c>
    </row>
    <row r="40" spans="1:16" x14ac:dyDescent="0.3">
      <c r="A40" s="1" t="s">
        <v>22</v>
      </c>
      <c r="B40" s="44">
        <v>200</v>
      </c>
      <c r="C40" s="44">
        <v>200</v>
      </c>
      <c r="D40" s="44">
        <v>200</v>
      </c>
      <c r="E40" s="44">
        <v>200</v>
      </c>
      <c r="F40" s="44">
        <v>200</v>
      </c>
      <c r="G40" s="44">
        <v>200</v>
      </c>
      <c r="H40" s="44">
        <v>200</v>
      </c>
      <c r="I40" s="44">
        <v>200</v>
      </c>
      <c r="J40" s="44">
        <v>200</v>
      </c>
      <c r="K40" s="44">
        <v>200</v>
      </c>
      <c r="L40" s="44">
        <v>200</v>
      </c>
      <c r="M40" s="44">
        <v>200</v>
      </c>
      <c r="N40" s="9">
        <f t="shared" si="3"/>
        <v>2400</v>
      </c>
      <c r="O40" s="1" t="s">
        <v>73</v>
      </c>
    </row>
    <row r="41" spans="1:16" x14ac:dyDescent="0.3">
      <c r="A41" s="1" t="s">
        <v>44</v>
      </c>
      <c r="B41" s="44">
        <f t="shared" ref="B41:F41" si="26">(180+190)/12</f>
        <v>30.833333333333332</v>
      </c>
      <c r="C41" s="44">
        <f t="shared" si="26"/>
        <v>30.833333333333332</v>
      </c>
      <c r="D41" s="44">
        <f t="shared" si="26"/>
        <v>30.833333333333332</v>
      </c>
      <c r="E41" s="44">
        <f t="shared" si="26"/>
        <v>30.833333333333332</v>
      </c>
      <c r="F41" s="44">
        <f t="shared" si="26"/>
        <v>30.833333333333332</v>
      </c>
      <c r="G41" s="44">
        <f t="shared" ref="G41:M41" si="27">(180+190)/12</f>
        <v>30.833333333333332</v>
      </c>
      <c r="H41" s="44">
        <f t="shared" si="27"/>
        <v>30.833333333333332</v>
      </c>
      <c r="I41" s="44">
        <f t="shared" si="27"/>
        <v>30.833333333333332</v>
      </c>
      <c r="J41" s="44">
        <f t="shared" si="27"/>
        <v>30.833333333333332</v>
      </c>
      <c r="K41" s="44">
        <f t="shared" si="27"/>
        <v>30.833333333333332</v>
      </c>
      <c r="L41" s="44">
        <f t="shared" si="27"/>
        <v>30.833333333333332</v>
      </c>
      <c r="M41" s="44">
        <f t="shared" si="27"/>
        <v>30.833333333333332</v>
      </c>
      <c r="N41" s="9">
        <f t="shared" si="3"/>
        <v>369.99999999999994</v>
      </c>
      <c r="O41" s="1" t="s">
        <v>85</v>
      </c>
    </row>
    <row r="42" spans="1:16" x14ac:dyDescent="0.3">
      <c r="A42" s="1" t="s">
        <v>23</v>
      </c>
      <c r="B42" s="44">
        <v>1000</v>
      </c>
      <c r="C42" s="44">
        <v>1000</v>
      </c>
      <c r="D42" s="44">
        <v>1000</v>
      </c>
      <c r="E42" s="44">
        <v>1000</v>
      </c>
      <c r="F42" s="44">
        <v>1000</v>
      </c>
      <c r="G42" s="44">
        <v>1000</v>
      </c>
      <c r="H42" s="44">
        <v>1000</v>
      </c>
      <c r="I42" s="44">
        <v>1000</v>
      </c>
      <c r="J42" s="44">
        <v>1000</v>
      </c>
      <c r="K42" s="44">
        <v>1000</v>
      </c>
      <c r="L42" s="44">
        <v>1000</v>
      </c>
      <c r="M42" s="44">
        <v>1000</v>
      </c>
      <c r="N42" s="9">
        <f t="shared" si="3"/>
        <v>12000</v>
      </c>
      <c r="O42" s="1" t="str">
        <f>'Cashflow Y1'!O42</f>
        <v>Based on loan of £100,000</v>
      </c>
    </row>
    <row r="43" spans="1:16" x14ac:dyDescent="0.3">
      <c r="A43" s="48" t="s">
        <v>78</v>
      </c>
      <c r="B43" s="49">
        <f t="shared" ref="B43:M43" si="28">SUM(B26:B42)</f>
        <v>3003.833333333333</v>
      </c>
      <c r="C43" s="49">
        <f t="shared" si="28"/>
        <v>3003.833333333333</v>
      </c>
      <c r="D43" s="49">
        <f t="shared" si="28"/>
        <v>3003.833333333333</v>
      </c>
      <c r="E43" s="49">
        <f t="shared" si="28"/>
        <v>3923.8333333333335</v>
      </c>
      <c r="F43" s="49">
        <f t="shared" si="28"/>
        <v>3923.8333333333335</v>
      </c>
      <c r="G43" s="49">
        <f t="shared" si="28"/>
        <v>3923.8333333333335</v>
      </c>
      <c r="H43" s="49">
        <f t="shared" si="28"/>
        <v>3923.8333333333335</v>
      </c>
      <c r="I43" s="49">
        <f t="shared" si="28"/>
        <v>3923.8333333333335</v>
      </c>
      <c r="J43" s="49">
        <f t="shared" si="28"/>
        <v>3923.8333333333335</v>
      </c>
      <c r="K43" s="49">
        <f t="shared" si="28"/>
        <v>3923.8333333333335</v>
      </c>
      <c r="L43" s="49">
        <f t="shared" si="28"/>
        <v>3923.8333333333335</v>
      </c>
      <c r="M43" s="49">
        <f t="shared" si="28"/>
        <v>3923.8333333333335</v>
      </c>
      <c r="N43" s="49">
        <f>SUM(N26:N42)</f>
        <v>44326</v>
      </c>
      <c r="O43" s="48" t="s">
        <v>77</v>
      </c>
      <c r="P43" s="13"/>
    </row>
    <row r="44" spans="1:16" x14ac:dyDescent="0.3">
      <c r="A44" s="2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9"/>
      <c r="P44" s="13"/>
    </row>
    <row r="45" spans="1:16" x14ac:dyDescent="0.3">
      <c r="A45" s="48" t="s">
        <v>24</v>
      </c>
      <c r="B45" s="49">
        <f>B43+B24</f>
        <v>8003.833333333333</v>
      </c>
      <c r="C45" s="49">
        <f t="shared" ref="C45:M45" si="29">C43+C24</f>
        <v>8003.833333333333</v>
      </c>
      <c r="D45" s="49">
        <f t="shared" si="29"/>
        <v>8003.833333333333</v>
      </c>
      <c r="E45" s="49">
        <f t="shared" si="29"/>
        <v>8923.8333333333339</v>
      </c>
      <c r="F45" s="49">
        <f t="shared" si="29"/>
        <v>8923.8333333333339</v>
      </c>
      <c r="G45" s="49">
        <f t="shared" si="29"/>
        <v>8923.8333333333339</v>
      </c>
      <c r="H45" s="49">
        <f t="shared" si="29"/>
        <v>8923.8333333333339</v>
      </c>
      <c r="I45" s="49">
        <f t="shared" si="29"/>
        <v>8923.8333333333339</v>
      </c>
      <c r="J45" s="49">
        <f t="shared" si="29"/>
        <v>8923.8333333333339</v>
      </c>
      <c r="K45" s="49">
        <f t="shared" si="29"/>
        <v>8923.8333333333339</v>
      </c>
      <c r="L45" s="49">
        <f t="shared" si="29"/>
        <v>8923.8333333333339</v>
      </c>
      <c r="M45" s="49">
        <f t="shared" si="29"/>
        <v>8923.8333333333339</v>
      </c>
      <c r="N45" s="49">
        <f>N43+N24</f>
        <v>104326</v>
      </c>
      <c r="O45" s="48" t="s">
        <v>79</v>
      </c>
      <c r="P45" s="13"/>
    </row>
    <row r="46" spans="1:16" x14ac:dyDescent="0.3">
      <c r="A46" s="3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3"/>
      <c r="P46" s="13"/>
    </row>
    <row r="47" spans="1:16" x14ac:dyDescent="0.3">
      <c r="A47" s="24" t="s">
        <v>63</v>
      </c>
      <c r="B47" s="25">
        <f>B22-B45</f>
        <v>6251.2183230020701</v>
      </c>
      <c r="C47" s="25">
        <f t="shared" ref="C47:N47" si="30">C22-C45</f>
        <v>6251.2183230020701</v>
      </c>
      <c r="D47" s="25">
        <f t="shared" si="30"/>
        <v>6251.2183230020701</v>
      </c>
      <c r="E47" s="25">
        <f t="shared" si="30"/>
        <v>5331.2183230020692</v>
      </c>
      <c r="F47" s="25">
        <f t="shared" si="30"/>
        <v>5331.2183230020692</v>
      </c>
      <c r="G47" s="25">
        <f t="shared" si="30"/>
        <v>5331.2183230020692</v>
      </c>
      <c r="H47" s="25">
        <f t="shared" si="30"/>
        <v>5331.2183230020692</v>
      </c>
      <c r="I47" s="25">
        <f t="shared" si="30"/>
        <v>5331.2183230020692</v>
      </c>
      <c r="J47" s="25">
        <f t="shared" si="30"/>
        <v>5331.2183230020692</v>
      </c>
      <c r="K47" s="25">
        <f t="shared" si="30"/>
        <v>5331.2183230020692</v>
      </c>
      <c r="L47" s="25">
        <f t="shared" si="30"/>
        <v>5331.2183230020692</v>
      </c>
      <c r="M47" s="25">
        <f t="shared" si="30"/>
        <v>5331.2183230020692</v>
      </c>
      <c r="N47" s="25">
        <f t="shared" si="30"/>
        <v>66734.619876024837</v>
      </c>
      <c r="O47" s="24" t="s">
        <v>80</v>
      </c>
      <c r="P47" s="13"/>
    </row>
    <row r="48" spans="1:16" x14ac:dyDescent="0.3">
      <c r="P48" s="13"/>
    </row>
    <row r="49" spans="1:15" x14ac:dyDescent="0.3">
      <c r="A49" s="1" t="s">
        <v>104</v>
      </c>
      <c r="B49" s="4">
        <f>C5</f>
        <v>6251.218323002071</v>
      </c>
      <c r="C49" s="4">
        <f>C11-C45</f>
        <v>16151.218323002071</v>
      </c>
      <c r="D49" s="4">
        <f t="shared" ref="D49:M49" si="31">D11-D45</f>
        <v>16151.218323002071</v>
      </c>
      <c r="E49" s="4">
        <f t="shared" si="31"/>
        <v>15231.218323002069</v>
      </c>
      <c r="F49" s="4">
        <f t="shared" si="31"/>
        <v>15231.218323002069</v>
      </c>
      <c r="G49" s="4">
        <f t="shared" si="31"/>
        <v>15231.218323002069</v>
      </c>
      <c r="H49" s="4">
        <f t="shared" si="31"/>
        <v>15231.218323002069</v>
      </c>
      <c r="I49" s="4">
        <f t="shared" si="31"/>
        <v>15231.218323002069</v>
      </c>
      <c r="J49" s="4">
        <f t="shared" si="31"/>
        <v>15231.218323002069</v>
      </c>
      <c r="K49" s="4">
        <f t="shared" si="31"/>
        <v>15231.218323002069</v>
      </c>
      <c r="L49" s="4">
        <f t="shared" si="31"/>
        <v>15231.218323002069</v>
      </c>
      <c r="M49" s="4">
        <f t="shared" si="31"/>
        <v>15231.218323002069</v>
      </c>
      <c r="N49" s="4">
        <f>SUM(B49:M49)</f>
        <v>175634.61987602487</v>
      </c>
      <c r="O49" s="1"/>
    </row>
    <row r="50" spans="1:15" x14ac:dyDescent="0.3">
      <c r="A50" s="1" t="s">
        <v>103</v>
      </c>
      <c r="B50" s="4">
        <f>B49</f>
        <v>6251.218323002071</v>
      </c>
      <c r="C50" s="4">
        <f>D5</f>
        <v>6251.218323002071</v>
      </c>
      <c r="D50" s="4">
        <f t="shared" ref="D50:L50" si="32">E5</f>
        <v>6251.218323002071</v>
      </c>
      <c r="E50" s="4">
        <f t="shared" si="32"/>
        <v>5331.2183230020673</v>
      </c>
      <c r="F50" s="4">
        <f t="shared" si="32"/>
        <v>5331.2183230020673</v>
      </c>
      <c r="G50" s="4">
        <f t="shared" si="32"/>
        <v>5331.2183230020673</v>
      </c>
      <c r="H50" s="4">
        <f t="shared" si="32"/>
        <v>5331.2183230020673</v>
      </c>
      <c r="I50" s="4">
        <f t="shared" si="32"/>
        <v>5331.2183230020673</v>
      </c>
      <c r="J50" s="4">
        <f t="shared" si="32"/>
        <v>5331.2183230020673</v>
      </c>
      <c r="K50" s="4">
        <f t="shared" si="32"/>
        <v>5331.2183230020673</v>
      </c>
      <c r="L50" s="4">
        <f t="shared" si="32"/>
        <v>5331.2183230020673</v>
      </c>
      <c r="M50" s="4">
        <f>L50</f>
        <v>5331.2183230020673</v>
      </c>
      <c r="N50" s="4">
        <f>SUM(B50:M50)</f>
        <v>66734.619876024823</v>
      </c>
      <c r="O50" s="1"/>
    </row>
    <row r="52" spans="1:15" x14ac:dyDescent="0.3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694D1-D1B6-41B7-BC61-C5B570FE6D70}">
  <sheetPr>
    <tabColor rgb="FF00B0F0"/>
  </sheetPr>
  <dimension ref="B1:H61"/>
  <sheetViews>
    <sheetView topLeftCell="A9" workbookViewId="0">
      <selection activeCell="B48" sqref="B48"/>
    </sheetView>
  </sheetViews>
  <sheetFormatPr defaultRowHeight="14.4" x14ac:dyDescent="0.3"/>
  <cols>
    <col min="2" max="2" width="29" customWidth="1"/>
    <col min="3" max="3" width="17.77734375" style="17" customWidth="1"/>
    <col min="4" max="5" width="17.33203125" style="17" customWidth="1"/>
    <col min="6" max="6" width="5.5546875" style="27" bestFit="1" customWidth="1"/>
    <col min="7" max="7" width="21.44140625" customWidth="1"/>
    <col min="8" max="8" width="19.33203125" customWidth="1"/>
  </cols>
  <sheetData>
    <row r="1" spans="2:8" ht="18" x14ac:dyDescent="0.3">
      <c r="B1" s="62"/>
      <c r="C1" s="63"/>
      <c r="D1" s="64" t="s">
        <v>70</v>
      </c>
      <c r="E1" s="63"/>
    </row>
    <row r="2" spans="2:8" ht="15.6" x14ac:dyDescent="0.3">
      <c r="B2" s="65" t="s">
        <v>116</v>
      </c>
      <c r="C2" s="63"/>
      <c r="D2" s="63"/>
      <c r="E2" s="63"/>
      <c r="G2" s="87" t="s">
        <v>83</v>
      </c>
      <c r="H2" s="88"/>
    </row>
    <row r="3" spans="2:8" x14ac:dyDescent="0.3">
      <c r="B3" s="1"/>
      <c r="C3" s="19" t="s">
        <v>82</v>
      </c>
      <c r="D3" s="19" t="s">
        <v>67</v>
      </c>
      <c r="E3" s="19" t="s">
        <v>66</v>
      </c>
      <c r="F3" s="27" t="s">
        <v>71</v>
      </c>
      <c r="G3" s="19" t="s">
        <v>68</v>
      </c>
      <c r="H3" s="19" t="s">
        <v>66</v>
      </c>
    </row>
    <row r="4" spans="2:8" x14ac:dyDescent="0.3">
      <c r="B4" s="29" t="s">
        <v>65</v>
      </c>
      <c r="C4" s="18"/>
      <c r="D4" s="18"/>
      <c r="E4" s="18"/>
      <c r="G4" s="45">
        <v>0.2</v>
      </c>
      <c r="H4" s="45">
        <v>0.1</v>
      </c>
    </row>
    <row r="5" spans="2:8" ht="15" thickBot="1" x14ac:dyDescent="0.35">
      <c r="B5" s="28" t="str">
        <f>'Cashflow Y1'!A7</f>
        <v>Food</v>
      </c>
      <c r="C5" s="5">
        <f>D5*(1-$G$4)</f>
        <v>36864</v>
      </c>
      <c r="D5" s="12">
        <f>'Cashflow Y2'!N7</f>
        <v>46080</v>
      </c>
      <c r="E5" s="5">
        <f>D5*(1+$H$4)</f>
        <v>50688.000000000007</v>
      </c>
    </row>
    <row r="6" spans="2:8" ht="15" thickBot="1" x14ac:dyDescent="0.35">
      <c r="B6" s="28" t="str">
        <f>'Cashflow Y1'!A8</f>
        <v>Bar</v>
      </c>
      <c r="C6" s="5">
        <f>D6*(1-$G$4)</f>
        <v>149333.33333333337</v>
      </c>
      <c r="D6" s="12">
        <f>'Cashflow Y2'!N8</f>
        <v>186666.66666666672</v>
      </c>
      <c r="E6" s="5">
        <f t="shared" ref="E6:E8" si="0">D6*(1+$H$4)</f>
        <v>205333.3333333334</v>
      </c>
      <c r="G6" s="89" t="s">
        <v>106</v>
      </c>
      <c r="H6" s="90"/>
    </row>
    <row r="7" spans="2:8" x14ac:dyDescent="0.3">
      <c r="B7" s="28" t="str">
        <f>'Cashflow Y1'!A9</f>
        <v>Snacks</v>
      </c>
      <c r="C7" s="5">
        <f>D7*(1-$G$4)</f>
        <v>21504</v>
      </c>
      <c r="D7" s="12">
        <f>'Cashflow Y2'!N9</f>
        <v>26880</v>
      </c>
      <c r="E7" s="5">
        <f t="shared" si="0"/>
        <v>29568.000000000004</v>
      </c>
    </row>
    <row r="8" spans="2:8" x14ac:dyDescent="0.3">
      <c r="B8" s="28" t="str">
        <f>'Cashflow Y1'!A10</f>
        <v>Coffee bar</v>
      </c>
      <c r="C8" s="5">
        <f>D8*(1-$G$4)</f>
        <v>24187.16256748651</v>
      </c>
      <c r="D8" s="12">
        <f>'Cashflow Y2'!N10</f>
        <v>30233.953209358137</v>
      </c>
      <c r="E8" s="5">
        <f t="shared" si="0"/>
        <v>33257.348530293952</v>
      </c>
    </row>
    <row r="9" spans="2:8" x14ac:dyDescent="0.3">
      <c r="B9" s="24" t="s">
        <v>64</v>
      </c>
      <c r="C9" s="25">
        <f>D9*(1-$G$4)</f>
        <v>231888.49590081989</v>
      </c>
      <c r="D9" s="25">
        <f>SUM(D5:D8)</f>
        <v>289860.61987602484</v>
      </c>
      <c r="E9" s="25">
        <f>D9*(1+$H$4)</f>
        <v>318846.68186362734</v>
      </c>
    </row>
    <row r="10" spans="2:8" x14ac:dyDescent="0.3">
      <c r="B10" s="29" t="s">
        <v>63</v>
      </c>
      <c r="C10" s="5"/>
      <c r="D10" s="5"/>
      <c r="E10" s="5"/>
    </row>
    <row r="11" spans="2:8" x14ac:dyDescent="0.3">
      <c r="B11" s="28" t="str">
        <f>B5</f>
        <v>Food</v>
      </c>
      <c r="C11" s="5">
        <f>D11*(1-$G$4)</f>
        <v>18432</v>
      </c>
      <c r="D11" s="5">
        <f>'Cashflow Y2'!N7-'Cashflow Y2'!N16</f>
        <v>23040</v>
      </c>
      <c r="E11" s="5">
        <f>D11*(1+$H$4)</f>
        <v>25344.000000000004</v>
      </c>
    </row>
    <row r="12" spans="2:8" x14ac:dyDescent="0.3">
      <c r="B12" s="28" t="str">
        <f t="shared" ref="B12:B14" si="1">B6</f>
        <v>Bar</v>
      </c>
      <c r="C12" s="5">
        <f t="shared" ref="C12:C14" si="2">D12*(1-$G$4)</f>
        <v>82133.333333333372</v>
      </c>
      <c r="D12" s="5">
        <f>'Cashflow Y2'!N8-'Cashflow Y2'!N17</f>
        <v>102666.66666666672</v>
      </c>
      <c r="E12" s="5">
        <f t="shared" ref="E12:E14" si="3">D12*(1+$H$4)</f>
        <v>112933.3333333334</v>
      </c>
    </row>
    <row r="13" spans="2:8" x14ac:dyDescent="0.3">
      <c r="B13" s="28" t="str">
        <f t="shared" si="1"/>
        <v>Snacks</v>
      </c>
      <c r="C13" s="5">
        <f t="shared" si="2"/>
        <v>16128</v>
      </c>
      <c r="D13" s="5">
        <f>'Cashflow Y2'!N9-'Cashflow Y2'!N18</f>
        <v>20160</v>
      </c>
      <c r="E13" s="5">
        <f t="shared" si="3"/>
        <v>22176</v>
      </c>
    </row>
    <row r="14" spans="2:8" x14ac:dyDescent="0.3">
      <c r="B14" s="28" t="str">
        <f t="shared" si="1"/>
        <v>Coffee bar</v>
      </c>
      <c r="C14" s="5">
        <f t="shared" si="2"/>
        <v>20155.16256748651</v>
      </c>
      <c r="D14" s="5">
        <f>'Cashflow Y2'!N10-'Cashflow Y2'!N19</f>
        <v>25193.953209358137</v>
      </c>
      <c r="E14" s="5">
        <f t="shared" si="3"/>
        <v>27713.348530293952</v>
      </c>
    </row>
    <row r="15" spans="2:8" x14ac:dyDescent="0.3">
      <c r="B15" s="24" t="s">
        <v>62</v>
      </c>
      <c r="C15" s="25">
        <f>D15*(1-$G$4)</f>
        <v>136848.49590081986</v>
      </c>
      <c r="D15" s="25">
        <f>SUM(D11:D14)</f>
        <v>171060.61987602484</v>
      </c>
      <c r="E15" s="25">
        <f>D15*(1+$H$4)</f>
        <v>188166.68186362734</v>
      </c>
    </row>
    <row r="16" spans="2:8" x14ac:dyDescent="0.3">
      <c r="B16" s="1"/>
      <c r="C16" s="5"/>
      <c r="D16" s="5"/>
      <c r="E16" s="5"/>
    </row>
    <row r="17" spans="2:5" x14ac:dyDescent="0.3">
      <c r="B17" s="3" t="s">
        <v>61</v>
      </c>
      <c r="C17" s="5"/>
      <c r="D17" s="5"/>
      <c r="E17" s="5"/>
    </row>
    <row r="18" spans="2:5" x14ac:dyDescent="0.3">
      <c r="B18" s="11" t="s">
        <v>81</v>
      </c>
      <c r="C18" s="12">
        <f>'Cashflow Y1'!$N$24</f>
        <v>60000</v>
      </c>
      <c r="D18" s="12">
        <f>'Cashflow Y2'!$N$24</f>
        <v>60000</v>
      </c>
      <c r="E18" s="12">
        <f>'Cashflow Y1'!$N$24</f>
        <v>60000</v>
      </c>
    </row>
    <row r="19" spans="2:5" x14ac:dyDescent="0.3">
      <c r="B19" s="11" t="s">
        <v>60</v>
      </c>
      <c r="C19" s="16">
        <f>D19*(1-$G$4)</f>
        <v>0</v>
      </c>
      <c r="D19" s="16">
        <v>0</v>
      </c>
      <c r="E19" s="16">
        <f>D19*(1+$H$4)</f>
        <v>0</v>
      </c>
    </row>
    <row r="20" spans="2:5" x14ac:dyDescent="0.3">
      <c r="B20" s="48" t="s">
        <v>59</v>
      </c>
      <c r="C20" s="49">
        <f>D20</f>
        <v>60000</v>
      </c>
      <c r="D20" s="49">
        <f>SUM(D18:D19)</f>
        <v>60000</v>
      </c>
      <c r="E20" s="49">
        <f>D20</f>
        <v>60000</v>
      </c>
    </row>
    <row r="21" spans="2:5" x14ac:dyDescent="0.3">
      <c r="B21" s="1"/>
      <c r="C21" s="5"/>
      <c r="D21" s="5"/>
      <c r="E21" s="5"/>
    </row>
    <row r="22" spans="2:5" x14ac:dyDescent="0.3">
      <c r="B22" s="24" t="s">
        <v>58</v>
      </c>
      <c r="C22" s="25">
        <f>D22*(1-$G$4)</f>
        <v>88848.495900819878</v>
      </c>
      <c r="D22" s="25">
        <f>D15-D20</f>
        <v>111060.61987602484</v>
      </c>
      <c r="E22" s="25">
        <f>D22*(1+$H$4)</f>
        <v>122166.68186362732</v>
      </c>
    </row>
    <row r="23" spans="2:5" x14ac:dyDescent="0.3">
      <c r="B23" s="3" t="s">
        <v>7</v>
      </c>
      <c r="C23" s="5"/>
      <c r="D23" s="5"/>
      <c r="E23" s="5"/>
    </row>
    <row r="24" spans="2:5" x14ac:dyDescent="0.3">
      <c r="B24" s="3" t="s">
        <v>57</v>
      </c>
      <c r="C24" s="5"/>
      <c r="D24" s="5"/>
      <c r="E24" s="5"/>
    </row>
    <row r="25" spans="2:5" x14ac:dyDescent="0.3">
      <c r="B25" s="11" t="str">
        <f>'Cashflow Y1'!$A26</f>
        <v>Insurance Heat, light, logs</v>
      </c>
      <c r="C25" s="5">
        <f t="shared" ref="C25:C41" si="4">D25</f>
        <v>9600</v>
      </c>
      <c r="D25" s="12">
        <f>'Cashflow Y2'!$N26</f>
        <v>9600</v>
      </c>
      <c r="E25" s="5">
        <f t="shared" ref="E25:E41" si="5">D25</f>
        <v>9600</v>
      </c>
    </row>
    <row r="26" spans="2:5" x14ac:dyDescent="0.3">
      <c r="B26" s="11" t="str">
        <f>'Cashflow Y1'!$A27</f>
        <v>Postage/Stationary</v>
      </c>
      <c r="C26" s="5">
        <f t="shared" si="4"/>
        <v>240</v>
      </c>
      <c r="D26" s="12">
        <f>'Cashflow Y2'!$N27</f>
        <v>240</v>
      </c>
      <c r="E26" s="5">
        <f t="shared" si="5"/>
        <v>240</v>
      </c>
    </row>
    <row r="27" spans="2:5" x14ac:dyDescent="0.3">
      <c r="B27" s="11" t="str">
        <f>'Cashflow Y1'!$A28</f>
        <v>Advertising</v>
      </c>
      <c r="C27" s="5">
        <f t="shared" si="4"/>
        <v>240</v>
      </c>
      <c r="D27" s="12">
        <f>'Cashflow Y2'!$N28</f>
        <v>240</v>
      </c>
      <c r="E27" s="5">
        <f t="shared" si="5"/>
        <v>240</v>
      </c>
    </row>
    <row r="28" spans="2:5" x14ac:dyDescent="0.3">
      <c r="B28" s="11" t="str">
        <f>'Cashflow Y1'!$A29</f>
        <v>Telephone</v>
      </c>
      <c r="C28" s="5">
        <f t="shared" si="4"/>
        <v>480</v>
      </c>
      <c r="D28" s="12">
        <f>'Cashflow Y2'!$N29</f>
        <v>480</v>
      </c>
      <c r="E28" s="5">
        <f t="shared" si="5"/>
        <v>480</v>
      </c>
    </row>
    <row r="29" spans="2:5" x14ac:dyDescent="0.3">
      <c r="B29" s="11" t="str">
        <f>'Cashflow Y1'!$A30</f>
        <v>Consumables</v>
      </c>
      <c r="C29" s="5">
        <f t="shared" si="4"/>
        <v>1200</v>
      </c>
      <c r="D29" s="12">
        <f>'Cashflow Y1'!$N30</f>
        <v>1200</v>
      </c>
      <c r="E29" s="5">
        <f t="shared" si="5"/>
        <v>1200</v>
      </c>
    </row>
    <row r="30" spans="2:5" x14ac:dyDescent="0.3">
      <c r="B30" s="11" t="str">
        <f>'Cashflow Y1'!$A31</f>
        <v>Crockery &amp; Glass</v>
      </c>
      <c r="C30" s="5">
        <f t="shared" si="4"/>
        <v>1200</v>
      </c>
      <c r="D30" s="12">
        <f>'Cashflow Y2'!$N31</f>
        <v>1200</v>
      </c>
      <c r="E30" s="5">
        <f t="shared" si="5"/>
        <v>1200</v>
      </c>
    </row>
    <row r="31" spans="2:5" x14ac:dyDescent="0.3">
      <c r="B31" s="11" t="str">
        <f>'Cashflow Y1'!$A32</f>
        <v>Waste Disposal</v>
      </c>
      <c r="C31" s="5">
        <f t="shared" si="4"/>
        <v>2736</v>
      </c>
      <c r="D31" s="12">
        <f>'Cashflow Y2'!$N32</f>
        <v>2736</v>
      </c>
      <c r="E31" s="5">
        <f t="shared" si="5"/>
        <v>2736</v>
      </c>
    </row>
    <row r="32" spans="2:5" x14ac:dyDescent="0.3">
      <c r="B32" s="11" t="str">
        <f>'Cashflow Y1'!$A33</f>
        <v>Rates</v>
      </c>
      <c r="C32" s="5">
        <f t="shared" si="4"/>
        <v>2520</v>
      </c>
      <c r="D32" s="12">
        <f>'Cashflow Y2'!$N33</f>
        <v>2520</v>
      </c>
      <c r="E32" s="5">
        <f t="shared" si="5"/>
        <v>2520</v>
      </c>
    </row>
    <row r="33" spans="2:5" x14ac:dyDescent="0.3">
      <c r="B33" s="11" t="str">
        <f>'Cashflow Y1'!$A34</f>
        <v>Repairs &amp; Renewals</v>
      </c>
      <c r="C33" s="5">
        <f t="shared" si="4"/>
        <v>1200</v>
      </c>
      <c r="D33" s="12">
        <f>'Cashflow Y2'!$N34</f>
        <v>1200</v>
      </c>
      <c r="E33" s="5">
        <f t="shared" si="5"/>
        <v>1200</v>
      </c>
    </row>
    <row r="34" spans="2:5" x14ac:dyDescent="0.3">
      <c r="B34" s="11" t="str">
        <f>'Cashflow Y1'!$A35</f>
        <v>Water</v>
      </c>
      <c r="C34" s="5">
        <f t="shared" si="4"/>
        <v>2040</v>
      </c>
      <c r="D34" s="12">
        <f>'Cashflow Y2'!$N35</f>
        <v>2040</v>
      </c>
      <c r="E34" s="5">
        <f t="shared" si="5"/>
        <v>2040</v>
      </c>
    </row>
    <row r="35" spans="2:5" x14ac:dyDescent="0.3">
      <c r="B35" s="11" t="str">
        <f>'Cashflow Y1'!$A36</f>
        <v>Stocktaking</v>
      </c>
      <c r="C35" s="5">
        <f t="shared" si="4"/>
        <v>600</v>
      </c>
      <c r="D35" s="12">
        <f>'Cashflow Y2'!$N36</f>
        <v>600</v>
      </c>
      <c r="E35" s="5">
        <f t="shared" si="5"/>
        <v>600</v>
      </c>
    </row>
    <row r="36" spans="2:5" x14ac:dyDescent="0.3">
      <c r="B36" s="11" t="str">
        <f>'Cashflow Y1'!$A37</f>
        <v>Accountancy</v>
      </c>
      <c r="C36" s="5">
        <f t="shared" si="4"/>
        <v>4800</v>
      </c>
      <c r="D36" s="12">
        <f>'Cashflow Y2'!$N37</f>
        <v>4800</v>
      </c>
      <c r="E36" s="5">
        <f t="shared" si="5"/>
        <v>4800</v>
      </c>
    </row>
    <row r="37" spans="2:5" x14ac:dyDescent="0.3">
      <c r="B37" s="11" t="str">
        <f>'Cashflow Y1'!$A38</f>
        <v>Bank Charges</v>
      </c>
      <c r="C37" s="5">
        <f t="shared" si="4"/>
        <v>1200</v>
      </c>
      <c r="D37" s="12">
        <f>'Cashflow Y2'!$N38</f>
        <v>1200</v>
      </c>
      <c r="E37" s="5">
        <f t="shared" si="5"/>
        <v>1200</v>
      </c>
    </row>
    <row r="38" spans="2:5" x14ac:dyDescent="0.3">
      <c r="B38" s="11" t="str">
        <f>'Cashflow Y1'!$A39</f>
        <v>C/card Fees</v>
      </c>
      <c r="C38" s="5">
        <f t="shared" si="4"/>
        <v>1500</v>
      </c>
      <c r="D38" s="12">
        <f>'Cashflow Y2'!$N39</f>
        <v>1500</v>
      </c>
      <c r="E38" s="5">
        <f t="shared" si="5"/>
        <v>1500</v>
      </c>
    </row>
    <row r="39" spans="2:5" x14ac:dyDescent="0.3">
      <c r="B39" s="11" t="str">
        <f>'Cashflow Y1'!$A40</f>
        <v>General Expenses</v>
      </c>
      <c r="C39" s="5">
        <f t="shared" si="4"/>
        <v>2400</v>
      </c>
      <c r="D39" s="12">
        <f>'Cashflow Y2'!$N40</f>
        <v>2400</v>
      </c>
      <c r="E39" s="5">
        <f t="shared" si="5"/>
        <v>2400</v>
      </c>
    </row>
    <row r="40" spans="2:5" x14ac:dyDescent="0.3">
      <c r="B40" s="11" t="str">
        <f>'Cashflow Y1'!$A41</f>
        <v>Licence fee</v>
      </c>
      <c r="C40" s="5">
        <f t="shared" si="4"/>
        <v>369.99999999999994</v>
      </c>
      <c r="D40" s="12">
        <f>'Cashflow Y2'!$N41</f>
        <v>369.99999999999994</v>
      </c>
      <c r="E40" s="5">
        <f t="shared" si="5"/>
        <v>369.99999999999994</v>
      </c>
    </row>
    <row r="41" spans="2:5" x14ac:dyDescent="0.3">
      <c r="B41" s="11" t="str">
        <f>'Cashflow Y1'!$A42</f>
        <v>Loan Repayments</v>
      </c>
      <c r="C41" s="5">
        <f t="shared" si="4"/>
        <v>12000</v>
      </c>
      <c r="D41" s="12">
        <f>'Cashflow Y2'!$N42</f>
        <v>12000</v>
      </c>
      <c r="E41" s="5">
        <f t="shared" si="5"/>
        <v>12000</v>
      </c>
    </row>
    <row r="42" spans="2:5" x14ac:dyDescent="0.3">
      <c r="B42" s="48" t="s">
        <v>56</v>
      </c>
      <c r="C42" s="49">
        <f>SUM(C25:C41)</f>
        <v>44326</v>
      </c>
      <c r="D42" s="49">
        <f>SUM(D25:D41)</f>
        <v>44326</v>
      </c>
      <c r="E42" s="49">
        <f>SUM(E25:E41)</f>
        <v>44326</v>
      </c>
    </row>
    <row r="43" spans="2:5" x14ac:dyDescent="0.3">
      <c r="B43" s="48" t="s">
        <v>101</v>
      </c>
      <c r="C43" s="49">
        <f>C42+C20</f>
        <v>104326</v>
      </c>
      <c r="D43" s="49">
        <f t="shared" ref="D43:E43" si="6">D42+D20</f>
        <v>104326</v>
      </c>
      <c r="E43" s="49">
        <f t="shared" si="6"/>
        <v>104326</v>
      </c>
    </row>
    <row r="44" spans="2:5" x14ac:dyDescent="0.3">
      <c r="B44" s="24" t="s">
        <v>55</v>
      </c>
      <c r="C44" s="25">
        <f>C22-C42</f>
        <v>44522.495900819878</v>
      </c>
      <c r="D44" s="25">
        <f>D15-D43</f>
        <v>66734.619876024837</v>
      </c>
      <c r="E44" s="25">
        <f>E22-E42</f>
        <v>77840.681863627324</v>
      </c>
    </row>
    <row r="45" spans="2:5" x14ac:dyDescent="0.3">
      <c r="B45" s="1"/>
      <c r="C45" s="5"/>
      <c r="D45" s="5"/>
      <c r="E45" s="5"/>
    </row>
    <row r="46" spans="2:5" x14ac:dyDescent="0.3">
      <c r="B46" s="3" t="s">
        <v>120</v>
      </c>
      <c r="C46" s="5"/>
      <c r="D46" s="5"/>
      <c r="E46" s="5"/>
    </row>
    <row r="47" spans="2:5" x14ac:dyDescent="0.3">
      <c r="B47" s="1" t="str">
        <f>'Y2 CapEx'!A2</f>
        <v>Legal Fees/IPS set up</v>
      </c>
      <c r="C47" s="5">
        <f>'Y2 CapEx'!$B2</f>
        <v>0</v>
      </c>
      <c r="D47" s="5">
        <f>'Y2 CapEx'!$B2</f>
        <v>0</v>
      </c>
      <c r="E47" s="5">
        <f>'Y2 CapEx'!$B2</f>
        <v>0</v>
      </c>
    </row>
    <row r="48" spans="2:5" x14ac:dyDescent="0.3">
      <c r="B48" s="1" t="str">
        <f>'Y2 CapEx'!A3</f>
        <v>Survey/Valuation</v>
      </c>
      <c r="C48" s="5">
        <f>'Y2 CapEx'!$B3</f>
        <v>0</v>
      </c>
      <c r="D48" s="5">
        <f>'Y2 CapEx'!$B3</f>
        <v>0</v>
      </c>
      <c r="E48" s="5">
        <f>'Y2 CapEx'!$B3</f>
        <v>0</v>
      </c>
    </row>
    <row r="49" spans="2:5" x14ac:dyDescent="0.3">
      <c r="B49" s="1" t="str">
        <f>'Y2 CapEx'!A4</f>
        <v>Re-decorate</v>
      </c>
      <c r="C49" s="5">
        <f>'Y2 CapEx'!$B4</f>
        <v>0</v>
      </c>
      <c r="D49" s="5">
        <f>'Y2 CapEx'!$B4</f>
        <v>0</v>
      </c>
      <c r="E49" s="5">
        <f>'Y2 CapEx'!$B4</f>
        <v>0</v>
      </c>
    </row>
    <row r="50" spans="2:5" x14ac:dyDescent="0.3">
      <c r="B50" s="1" t="str">
        <f>'Y2 CapEx'!A5</f>
        <v>Windows</v>
      </c>
      <c r="C50" s="5">
        <f>'Y2 CapEx'!$B5</f>
        <v>0</v>
      </c>
      <c r="D50" s="5">
        <f>'Y2 CapEx'!$B5</f>
        <v>0</v>
      </c>
      <c r="E50" s="5">
        <f>'Y2 CapEx'!$B5</f>
        <v>0</v>
      </c>
    </row>
    <row r="51" spans="2:5" x14ac:dyDescent="0.3">
      <c r="B51" s="1" t="str">
        <f>'Y2 CapEx'!A6</f>
        <v>Flooring</v>
      </c>
      <c r="C51" s="5">
        <f>'Y2 CapEx'!$B6</f>
        <v>0</v>
      </c>
      <c r="D51" s="5">
        <f>'Y2 CapEx'!$B6</f>
        <v>0</v>
      </c>
      <c r="E51" s="5">
        <f>'Y2 CapEx'!$B6</f>
        <v>0</v>
      </c>
    </row>
    <row r="52" spans="2:5" x14ac:dyDescent="0.3">
      <c r="B52" s="1" t="str">
        <f>'Y2 CapEx'!A7</f>
        <v>Kitchen and  equipment</v>
      </c>
      <c r="C52" s="5">
        <f>'Y2 CapEx'!$B7</f>
        <v>0</v>
      </c>
      <c r="D52" s="5">
        <f>'Y2 CapEx'!$B7</f>
        <v>0</v>
      </c>
      <c r="E52" s="5">
        <f>'Y2 CapEx'!$B7</f>
        <v>0</v>
      </c>
    </row>
    <row r="53" spans="2:5" x14ac:dyDescent="0.3">
      <c r="B53" s="1" t="str">
        <f>'Y2 CapEx'!A8</f>
        <v>Toilets - demolish and replace</v>
      </c>
      <c r="C53" s="5">
        <f>'Y2 CapEx'!$B8</f>
        <v>0</v>
      </c>
      <c r="D53" s="5">
        <f>'Y2 CapEx'!$B8</f>
        <v>0</v>
      </c>
      <c r="E53" s="5">
        <f>'Y2 CapEx'!$B8</f>
        <v>0</v>
      </c>
    </row>
    <row r="54" spans="2:5" x14ac:dyDescent="0.3">
      <c r="B54" s="1" t="str">
        <f>'Y2 CapEx'!A9</f>
        <v>Refurbishments</v>
      </c>
      <c r="C54" s="5">
        <f>'Y2 CapEx'!$B9</f>
        <v>0</v>
      </c>
      <c r="D54" s="5">
        <f>'Y2 CapEx'!$B9</f>
        <v>0</v>
      </c>
      <c r="E54" s="5">
        <f>'Y2 CapEx'!$B9</f>
        <v>0</v>
      </c>
    </row>
    <row r="55" spans="2:5" x14ac:dyDescent="0.3">
      <c r="B55" s="1" t="str">
        <f>'Y2 CapEx'!A10</f>
        <v>Signage</v>
      </c>
      <c r="C55" s="5">
        <f>'Y2 CapEx'!$B10</f>
        <v>0</v>
      </c>
      <c r="D55" s="5">
        <f>'Y2 CapEx'!$B10</f>
        <v>0</v>
      </c>
      <c r="E55" s="5">
        <f>'Y2 CapEx'!$B10</f>
        <v>0</v>
      </c>
    </row>
    <row r="56" spans="2:5" x14ac:dyDescent="0.3">
      <c r="B56" s="1" t="str">
        <f>'Y2 CapEx'!A11</f>
        <v>Flood gates</v>
      </c>
      <c r="C56" s="5">
        <f>'Y2 CapEx'!$B11</f>
        <v>0</v>
      </c>
      <c r="D56" s="5">
        <f>'Y2 CapEx'!$B11</f>
        <v>0</v>
      </c>
      <c r="E56" s="5">
        <f>'Y2 CapEx'!$B11</f>
        <v>0</v>
      </c>
    </row>
    <row r="57" spans="2:5" x14ac:dyDescent="0.3">
      <c r="B57" s="1" t="s">
        <v>112</v>
      </c>
      <c r="C57" s="5">
        <f>'Y2 CapEx'!$B12</f>
        <v>0</v>
      </c>
      <c r="D57" s="5">
        <f>'Y2 CapEx'!$B12</f>
        <v>0</v>
      </c>
      <c r="E57" s="5">
        <f>'Y2 CapEx'!$B12</f>
        <v>0</v>
      </c>
    </row>
    <row r="58" spans="2:5" x14ac:dyDescent="0.3">
      <c r="B58" s="48" t="s">
        <v>119</v>
      </c>
      <c r="C58" s="49">
        <f>SUM(C47:C57)</f>
        <v>0</v>
      </c>
      <c r="D58" s="49">
        <f>SUM(D47:D57)</f>
        <v>0</v>
      </c>
      <c r="E58" s="49">
        <f>SUM(E47:E57)</f>
        <v>0</v>
      </c>
    </row>
    <row r="59" spans="2:5" x14ac:dyDescent="0.3">
      <c r="B59" s="1"/>
      <c r="C59" s="5"/>
      <c r="D59" s="5"/>
      <c r="E59" s="5"/>
    </row>
    <row r="60" spans="2:5" x14ac:dyDescent="0.3">
      <c r="B60" s="24" t="s">
        <v>49</v>
      </c>
      <c r="C60" s="51">
        <f>SUM(C44-C58)</f>
        <v>44522.495900819878</v>
      </c>
      <c r="D60" s="51">
        <f>SUM(D44-D58)</f>
        <v>66734.619876024837</v>
      </c>
      <c r="E60" s="51">
        <f>SUM(E44-E58)</f>
        <v>77840.681863627324</v>
      </c>
    </row>
    <row r="61" spans="2:5" x14ac:dyDescent="0.3">
      <c r="B61" s="1"/>
      <c r="C61" s="5"/>
      <c r="D61" s="5"/>
      <c r="E61" s="5"/>
    </row>
  </sheetData>
  <mergeCells count="2">
    <mergeCell ref="G2:H2"/>
    <mergeCell ref="G6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E30DE-E92D-460A-AA45-E565DAAB9A36}">
  <sheetPr>
    <tabColor rgb="FF00B0F0"/>
  </sheetPr>
  <dimension ref="A1:C15"/>
  <sheetViews>
    <sheetView workbookViewId="0">
      <selection activeCell="C2" sqref="C2:C12"/>
    </sheetView>
  </sheetViews>
  <sheetFormatPr defaultRowHeight="14.4" x14ac:dyDescent="0.3"/>
  <cols>
    <col min="1" max="1" width="27.77734375" customWidth="1"/>
    <col min="2" max="2" width="11.44140625" customWidth="1"/>
    <col min="3" max="3" width="70.88671875" customWidth="1"/>
  </cols>
  <sheetData>
    <row r="1" spans="1:3" x14ac:dyDescent="0.3">
      <c r="A1" s="62" t="s">
        <v>118</v>
      </c>
      <c r="B1" s="62"/>
      <c r="C1" s="62"/>
    </row>
    <row r="2" spans="1:3" x14ac:dyDescent="0.3">
      <c r="A2" s="1" t="s">
        <v>53</v>
      </c>
      <c r="B2" s="46">
        <v>0</v>
      </c>
    </row>
    <row r="3" spans="1:3" x14ac:dyDescent="0.3">
      <c r="A3" s="1" t="s">
        <v>52</v>
      </c>
      <c r="B3" s="46">
        <v>0</v>
      </c>
    </row>
    <row r="4" spans="1:3" x14ac:dyDescent="0.3">
      <c r="A4" s="1" t="s">
        <v>51</v>
      </c>
      <c r="B4" s="46">
        <v>0</v>
      </c>
    </row>
    <row r="5" spans="1:3" x14ac:dyDescent="0.3">
      <c r="A5" s="1" t="s">
        <v>108</v>
      </c>
      <c r="B5" s="46">
        <v>0</v>
      </c>
    </row>
    <row r="6" spans="1:3" x14ac:dyDescent="0.3">
      <c r="A6" s="1" t="s">
        <v>25</v>
      </c>
      <c r="B6" s="46">
        <v>0</v>
      </c>
    </row>
    <row r="7" spans="1:3" x14ac:dyDescent="0.3">
      <c r="A7" s="1" t="s">
        <v>110</v>
      </c>
      <c r="B7" s="46">
        <v>0</v>
      </c>
    </row>
    <row r="8" spans="1:3" x14ac:dyDescent="0.3">
      <c r="A8" s="1" t="s">
        <v>111</v>
      </c>
      <c r="B8" s="46">
        <v>0</v>
      </c>
    </row>
    <row r="9" spans="1:3" x14ac:dyDescent="0.3">
      <c r="A9" s="1" t="s">
        <v>109</v>
      </c>
      <c r="B9" s="46">
        <v>0</v>
      </c>
    </row>
    <row r="10" spans="1:3" x14ac:dyDescent="0.3">
      <c r="A10" s="1" t="s">
        <v>26</v>
      </c>
      <c r="B10" s="46">
        <v>0</v>
      </c>
    </row>
    <row r="11" spans="1:3" x14ac:dyDescent="0.3">
      <c r="A11" s="1" t="s">
        <v>99</v>
      </c>
      <c r="B11" s="46">
        <v>0</v>
      </c>
    </row>
    <row r="12" spans="1:3" x14ac:dyDescent="0.3">
      <c r="A12" s="1" t="s">
        <v>115</v>
      </c>
      <c r="B12" s="46">
        <v>0</v>
      </c>
    </row>
    <row r="13" spans="1:3" x14ac:dyDescent="0.3">
      <c r="A13" s="3" t="s">
        <v>27</v>
      </c>
      <c r="B13" s="30">
        <f>SUM(B2:B12)</f>
        <v>0</v>
      </c>
    </row>
    <row r="14" spans="1:3" ht="15" thickBot="1" x14ac:dyDescent="0.35"/>
    <row r="15" spans="1:3" ht="15" thickBot="1" x14ac:dyDescent="0.35">
      <c r="B15" s="55" t="s">
        <v>107</v>
      </c>
      <c r="C15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Cashflow Y1</vt:lpstr>
      <vt:lpstr>Y1 Budget</vt:lpstr>
      <vt:lpstr>Y1 CapEx</vt:lpstr>
      <vt:lpstr>Y1 Start up costs</vt:lpstr>
      <vt:lpstr>Cashflow Y2</vt:lpstr>
      <vt:lpstr>Y2 Budget</vt:lpstr>
      <vt:lpstr>Y2 CapEx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Andrew Bryant</cp:lastModifiedBy>
  <cp:lastPrinted>2025-05-27T15:24:52Z</cp:lastPrinted>
  <dcterms:created xsi:type="dcterms:W3CDTF">2025-05-26T08:21:32Z</dcterms:created>
  <dcterms:modified xsi:type="dcterms:W3CDTF">2026-01-08T17:53:18Z</dcterms:modified>
</cp:coreProperties>
</file>